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ocuments\Schapen\Projecten\rendabiliteit\"/>
    </mc:Choice>
  </mc:AlternateContent>
  <bookViews>
    <workbookView xWindow="0" yWindow="0" windowWidth="24000" windowHeight="10725" tabRatio="769" firstSheet="1" activeTab="7"/>
  </bookViews>
  <sheets>
    <sheet name="Foktechnische kengetallen" sheetId="1" r:id="rId1"/>
    <sheet name="Groei en verblijfsduur" sheetId="2" r:id="rId2"/>
    <sheet name="voeder lammeren" sheetId="3" r:id="rId3"/>
    <sheet name="voeder ooien" sheetId="4" r:id="rId4"/>
    <sheet name="voeder rammen" sheetId="5" r:id="rId5"/>
    <sheet name="kostprijs voeder" sheetId="6" r:id="rId6"/>
    <sheet name="aankoop dieren" sheetId="10" r:id="rId7"/>
    <sheet name="Andere kosten" sheetId="7" r:id="rId8"/>
    <sheet name="Opbrengsten" sheetId="8" r:id="rId9"/>
    <sheet name="Winst-verliesbalans" sheetId="9" r:id="rId10"/>
  </sheets>
  <calcPr calcId="152511"/>
</workbook>
</file>

<file path=xl/calcChain.xml><?xml version="1.0" encoding="utf-8"?>
<calcChain xmlns="http://schemas.openxmlformats.org/spreadsheetml/2006/main">
  <c r="C10" i="9" l="1"/>
  <c r="D21" i="9"/>
  <c r="B21" i="9"/>
  <c r="B17" i="9"/>
  <c r="B19" i="9"/>
  <c r="B15" i="9"/>
  <c r="B14" i="9"/>
  <c r="B16" i="9"/>
  <c r="B13" i="9"/>
  <c r="D18" i="9"/>
  <c r="B18" i="9"/>
  <c r="B12" i="9"/>
  <c r="G4" i="10"/>
  <c r="G5" i="10"/>
  <c r="C65" i="7"/>
  <c r="D17" i="9" s="1"/>
  <c r="C62" i="7"/>
  <c r="C57" i="7"/>
  <c r="D19" i="9" s="1"/>
  <c r="E10" i="8"/>
  <c r="D10" i="8"/>
  <c r="C10" i="8"/>
  <c r="C9" i="8"/>
  <c r="G9" i="8" s="1"/>
  <c r="C8" i="9" s="1"/>
  <c r="C8" i="8"/>
  <c r="G8" i="8" s="1"/>
  <c r="C7" i="9" s="1"/>
  <c r="C9" i="10" l="1"/>
  <c r="D20" i="9" s="1"/>
  <c r="G10" i="8"/>
  <c r="C9" i="9" s="1"/>
  <c r="C50" i="7"/>
  <c r="D15" i="9" s="1"/>
  <c r="C8" i="7"/>
  <c r="C44" i="7" s="1"/>
  <c r="I17" i="3"/>
  <c r="J21" i="3"/>
  <c r="J20" i="3"/>
  <c r="J19" i="3"/>
  <c r="J18" i="3"/>
  <c r="K18" i="3" s="1"/>
  <c r="M18" i="3" s="1"/>
  <c r="C7" i="3"/>
  <c r="J17" i="3" l="1"/>
  <c r="K17" i="3" s="1"/>
  <c r="M17" i="3" s="1"/>
  <c r="C26" i="7"/>
  <c r="D13" i="9" s="1"/>
  <c r="C31" i="7"/>
  <c r="C30" i="7"/>
  <c r="C20" i="7"/>
  <c r="C21" i="7" s="1"/>
  <c r="C10" i="7"/>
  <c r="D12" i="9" s="1"/>
  <c r="E15" i="6"/>
  <c r="H15" i="4"/>
  <c r="G18" i="4"/>
  <c r="G17" i="4"/>
  <c r="G16" i="4"/>
  <c r="H14" i="4"/>
  <c r="H13" i="4"/>
  <c r="H19" i="4" s="1"/>
  <c r="J14" i="1"/>
  <c r="I14" i="5" s="1"/>
  <c r="I17" i="5" s="1"/>
  <c r="E8" i="6" s="1"/>
  <c r="E17" i="6" s="1"/>
  <c r="I5" i="1"/>
  <c r="H6" i="1" s="1"/>
  <c r="D5" i="8"/>
  <c r="C11" i="7" l="1"/>
  <c r="C43" i="7"/>
  <c r="C45" i="7" s="1"/>
  <c r="G19" i="4"/>
  <c r="L17" i="3"/>
  <c r="J14" i="5"/>
  <c r="F8" i="6" s="1"/>
  <c r="F17" i="6" s="1"/>
  <c r="H14" i="5"/>
  <c r="H17" i="5" s="1"/>
  <c r="D8" i="6" s="1"/>
  <c r="D17" i="6" s="1"/>
  <c r="H7" i="1"/>
  <c r="H8" i="1" s="1"/>
  <c r="I13" i="1"/>
  <c r="C6" i="8" s="1"/>
  <c r="G6" i="8" s="1"/>
  <c r="C5" i="9" s="1"/>
  <c r="I18" i="3"/>
  <c r="I19" i="3"/>
  <c r="I20" i="3"/>
  <c r="I21" i="3"/>
  <c r="D14" i="9" l="1"/>
  <c r="H12" i="1"/>
  <c r="I6" i="1"/>
  <c r="L19" i="4" l="1"/>
  <c r="J15" i="4"/>
  <c r="L17" i="4"/>
  <c r="L18" i="4"/>
  <c r="K17" i="4"/>
  <c r="J18" i="4"/>
  <c r="J17" i="4"/>
  <c r="L14" i="4"/>
  <c r="L16" i="4"/>
  <c r="J14" i="4"/>
  <c r="J19" i="4"/>
  <c r="J16" i="4"/>
  <c r="K16" i="4"/>
  <c r="L15" i="4"/>
  <c r="K19" i="4"/>
  <c r="K18" i="4"/>
  <c r="K15" i="4"/>
  <c r="K14" i="4"/>
  <c r="I7" i="1"/>
  <c r="I8" i="1" s="1"/>
  <c r="L13" i="4"/>
  <c r="C7" i="8"/>
  <c r="G7" i="8" s="1"/>
  <c r="C6" i="9" s="1"/>
  <c r="J13" i="4"/>
  <c r="K13" i="4"/>
  <c r="M9" i="3"/>
  <c r="N9" i="3" s="1"/>
  <c r="K6" i="3"/>
  <c r="L6" i="3" s="1"/>
  <c r="M7" i="3"/>
  <c r="N7" i="3" s="1"/>
  <c r="K9" i="3"/>
  <c r="L9" i="3" s="1"/>
  <c r="L22" i="4" l="1"/>
  <c r="F7" i="6" s="1"/>
  <c r="F16" i="6" s="1"/>
  <c r="K8" i="3"/>
  <c r="L8" i="3" s="1"/>
  <c r="M8" i="3"/>
  <c r="N8" i="3" s="1"/>
  <c r="I9" i="1"/>
  <c r="I10" i="1" s="1"/>
  <c r="J17" i="5"/>
  <c r="K22" i="4"/>
  <c r="E7" i="6" s="1"/>
  <c r="E16" i="6" s="1"/>
  <c r="E18" i="6" s="1"/>
  <c r="J22" i="4"/>
  <c r="D7" i="6" s="1"/>
  <c r="D16" i="6" s="1"/>
  <c r="M5" i="3"/>
  <c r="N5" i="3" s="1"/>
  <c r="M6" i="3"/>
  <c r="N6" i="3" s="1"/>
  <c r="K5" i="3"/>
  <c r="L5" i="3" s="1"/>
  <c r="H9" i="1"/>
  <c r="H10" i="1" s="1"/>
  <c r="K7" i="3"/>
  <c r="L7" i="3" s="1"/>
  <c r="C24" i="3" l="1"/>
  <c r="C28" i="3" s="1"/>
  <c r="G6" i="6" s="1"/>
  <c r="G15" i="6" s="1"/>
  <c r="G18" i="6" s="1"/>
  <c r="N11" i="3"/>
  <c r="C32" i="7"/>
  <c r="C35" i="7" s="1"/>
  <c r="C18" i="3"/>
  <c r="C20" i="3" s="1"/>
  <c r="M11" i="3"/>
  <c r="D16" i="9" l="1"/>
  <c r="H5" i="7"/>
  <c r="H6" i="7" s="1"/>
  <c r="C19" i="3"/>
  <c r="B4" i="2"/>
  <c r="B12" i="1"/>
  <c r="F7" i="2" l="1"/>
  <c r="K7" i="2"/>
  <c r="H7" i="2"/>
  <c r="I7" i="2"/>
  <c r="G13" i="2"/>
  <c r="I9" i="2"/>
  <c r="F17" i="2"/>
  <c r="J8" i="2"/>
  <c r="G15" i="2"/>
  <c r="F14" i="2"/>
  <c r="M12" i="2"/>
  <c r="L14" i="2"/>
  <c r="K15" i="2"/>
  <c r="I13" i="2"/>
  <c r="F10" i="2"/>
  <c r="H16" i="2"/>
  <c r="F13" i="2"/>
  <c r="J15" i="2"/>
  <c r="L17" i="2"/>
  <c r="F12" i="2"/>
  <c r="G7" i="2"/>
  <c r="H11" i="2"/>
  <c r="J10" i="2"/>
  <c r="H13" i="2"/>
  <c r="M17" i="2"/>
  <c r="L7" i="2"/>
  <c r="M15" i="2"/>
  <c r="L8" i="2"/>
  <c r="J16" i="2"/>
  <c r="K14" i="2"/>
  <c r="K13" i="2"/>
  <c r="M10" i="2"/>
  <c r="G11" i="2"/>
  <c r="H14" i="2"/>
  <c r="G8" i="2"/>
  <c r="L15" i="2"/>
  <c r="I16" i="2"/>
  <c r="M13" i="2"/>
  <c r="K11" i="2"/>
  <c r="F11" i="2"/>
  <c r="I10" i="2"/>
  <c r="L12" i="2"/>
  <c r="K10" i="2"/>
  <c r="G14" i="2"/>
  <c r="J7" i="2"/>
  <c r="H12" i="2"/>
  <c r="M11" i="2"/>
  <c r="J9" i="2"/>
  <c r="L13" i="2"/>
  <c r="M8" i="2"/>
  <c r="J11" i="2"/>
  <c r="F16" i="2"/>
  <c r="H15" i="2"/>
  <c r="G12" i="2"/>
  <c r="I15" i="2"/>
  <c r="I17" i="2"/>
  <c r="K17" i="2"/>
  <c r="F15" i="2"/>
  <c r="J17" i="2"/>
  <c r="L16" i="2"/>
  <c r="F9" i="2"/>
  <c r="M9" i="2"/>
  <c r="G10" i="2"/>
  <c r="K12" i="2"/>
  <c r="H9" i="2"/>
  <c r="J13" i="2"/>
  <c r="H8" i="2"/>
  <c r="J12" i="2"/>
  <c r="L11" i="2"/>
  <c r="K9" i="2"/>
  <c r="I8" i="2"/>
  <c r="G9" i="2"/>
  <c r="F8" i="2"/>
  <c r="M7" i="2"/>
  <c r="L10" i="2"/>
  <c r="J14" i="2"/>
  <c r="K8" i="2"/>
  <c r="I12" i="2"/>
  <c r="H10" i="2"/>
  <c r="G17" i="2"/>
  <c r="I14" i="2"/>
  <c r="L9" i="2"/>
  <c r="G16" i="2"/>
  <c r="M16" i="2"/>
  <c r="H17" i="2"/>
  <c r="K16" i="2"/>
  <c r="I11" i="2"/>
  <c r="M14" i="2"/>
  <c r="I11" i="1"/>
  <c r="H11" i="1"/>
  <c r="B19" i="1" l="1"/>
  <c r="C5" i="8" s="1"/>
  <c r="G5" i="8" s="1"/>
  <c r="C4" i="9" s="1"/>
  <c r="C23" i="9" s="1"/>
  <c r="K21" i="3"/>
  <c r="M21" i="3" s="1"/>
  <c r="K20" i="3"/>
  <c r="M20" i="3" s="1"/>
  <c r="K19" i="3"/>
  <c r="M19" i="3" s="1"/>
  <c r="G13" i="8" l="1"/>
  <c r="M23" i="3"/>
  <c r="L21" i="3"/>
  <c r="L19" i="3"/>
  <c r="L18" i="3"/>
  <c r="L20" i="3"/>
  <c r="L23" i="3" l="1"/>
  <c r="C21" i="3" s="1"/>
  <c r="C25" i="3" s="1"/>
  <c r="D6" i="6" s="1"/>
  <c r="D15" i="6" s="1"/>
  <c r="D18" i="6" s="1"/>
  <c r="C22" i="3"/>
  <c r="C26" i="3" s="1"/>
  <c r="F6" i="6" s="1"/>
  <c r="F15" i="6" s="1"/>
  <c r="F18" i="6" s="1"/>
  <c r="D21" i="6" l="1"/>
  <c r="D11" i="9" s="1"/>
  <c r="D23" i="9" s="1"/>
  <c r="C25" i="9" s="1"/>
</calcChain>
</file>

<file path=xl/sharedStrings.xml><?xml version="1.0" encoding="utf-8"?>
<sst xmlns="http://schemas.openxmlformats.org/spreadsheetml/2006/main" count="298" uniqueCount="214">
  <si>
    <t>Algemene gegevens:</t>
  </si>
  <si>
    <t>Foktechnische kengetallen schapenhouderij</t>
  </si>
  <si>
    <t>grootte van de kudde</t>
  </si>
  <si>
    <t>Vervangingspercentage:</t>
  </si>
  <si>
    <t>Oudere ooien</t>
  </si>
  <si>
    <t>% dracht</t>
  </si>
  <si>
    <t>gemiddelde worpgrootte</t>
  </si>
  <si>
    <t>% uitval bij geboorte</t>
  </si>
  <si>
    <t>% uitval later op jaarbasis</t>
  </si>
  <si>
    <t>Jonge ooien</t>
  </si>
  <si>
    <t>Vervanging per jaar</t>
  </si>
  <si>
    <t>/</t>
  </si>
  <si>
    <t>Aantal drachtige dieren per jaar</t>
  </si>
  <si>
    <t>Aantal lammeren per jaar</t>
  </si>
  <si>
    <t>Uitval bij geboorte</t>
  </si>
  <si>
    <t>Aantal levende lammeren per jaar</t>
  </si>
  <si>
    <t>Uitval lammeren na geboorte</t>
  </si>
  <si>
    <t>Lammeren nodig voor vervanging</t>
  </si>
  <si>
    <t>Aantal dieren per jaar</t>
  </si>
  <si>
    <t>Aantal dagen bij verkoop</t>
  </si>
  <si>
    <t>Aantal dagen op het bedrijf</t>
  </si>
  <si>
    <t>Geboortegewicht</t>
  </si>
  <si>
    <t>Afzetgewicht</t>
  </si>
  <si>
    <t>groei per dag</t>
  </si>
  <si>
    <t>kg</t>
  </si>
  <si>
    <t>kg per dag</t>
  </si>
  <si>
    <t>geboortegewicht</t>
  </si>
  <si>
    <t>afzetgewicht</t>
  </si>
  <si>
    <t>levend gewicht</t>
  </si>
  <si>
    <t>Opname kg DS/dag</t>
  </si>
  <si>
    <t>21-25</t>
  </si>
  <si>
    <t>41-50</t>
  </si>
  <si>
    <t>51-60</t>
  </si>
  <si>
    <t>gemiddelde groei per dag</t>
  </si>
  <si>
    <t>26-30</t>
  </si>
  <si>
    <t>31-40</t>
  </si>
  <si>
    <t>Totaal</t>
  </si>
  <si>
    <t>Kg DS/lam</t>
  </si>
  <si>
    <t>dagen</t>
  </si>
  <si>
    <t>Aantal dagen bijvoederen</t>
  </si>
  <si>
    <t>Voeder lammeren</t>
  </si>
  <si>
    <t>Totale verblijfsduur</t>
  </si>
  <si>
    <t>Berekening</t>
  </si>
  <si>
    <t>Resultaat</t>
  </si>
  <si>
    <t>Simulatie aantal dagen op het bedrijf (lineair)</t>
  </si>
  <si>
    <t>kg/DS</t>
  </si>
  <si>
    <t>Resultaat:</t>
  </si>
  <si>
    <t>Totale berekening DS</t>
  </si>
  <si>
    <t>Leeftijd bij 20 kg</t>
  </si>
  <si>
    <t>Opsplitsing krachtvoeder/ruwvoeder</t>
  </si>
  <si>
    <t>Tussen 21-25 kg lichaamsgewicht</t>
  </si>
  <si>
    <t>Tussen 26-30 kg lichaamsgewicht</t>
  </si>
  <si>
    <t>Tussen 31-40 kg lichaamsgewicht</t>
  </si>
  <si>
    <t>Tussen 41-50 kg lichaamsgewicht</t>
  </si>
  <si>
    <t>Tussen 51-60 kg lichaamsgewicht</t>
  </si>
  <si>
    <t>dagen in gewichtsgroep</t>
  </si>
  <si>
    <t>Kg DS /periode /lam</t>
  </si>
  <si>
    <t>aantal dagen in gewichtsgroep</t>
  </si>
  <si>
    <t>kg DS ruwvoeder</t>
  </si>
  <si>
    <t>kg DS krachtvoeder</t>
  </si>
  <si>
    <t>KG DS ruwvoeder /lam</t>
  </si>
  <si>
    <t>KG DS krachtvoeder /lam</t>
  </si>
  <si>
    <t>kg DS krachtvoeder/ lam</t>
  </si>
  <si>
    <t>kg DS ruwvoeder/ lam</t>
  </si>
  <si>
    <t>Aantal kg krachtvoeder per dag per dier:</t>
  </si>
  <si>
    <t>Voeder ooien</t>
  </si>
  <si>
    <t>Voeder rammen</t>
  </si>
  <si>
    <t>Kostprijs voeder</t>
  </si>
  <si>
    <t>Andere kosten</t>
  </si>
  <si>
    <t>Opbrengsten</t>
  </si>
  <si>
    <t>Periodes</t>
  </si>
  <si>
    <t>niet-drachtig</t>
  </si>
  <si>
    <t>Aantal dagen</t>
  </si>
  <si>
    <t>dracht - eerste fase</t>
  </si>
  <si>
    <t>dracht - eindfase</t>
  </si>
  <si>
    <t>gemiddeld gewicht ooi</t>
  </si>
  <si>
    <t>gemiddeld gewicht ooi - eindfase dracht</t>
  </si>
  <si>
    <t>gemiddeld gewicht ram</t>
  </si>
  <si>
    <t>lammeren</t>
  </si>
  <si>
    <t>ooien</t>
  </si>
  <si>
    <t>rammen</t>
  </si>
  <si>
    <t>krachtvoeder</t>
  </si>
  <si>
    <t>Aantal reforme ooien</t>
  </si>
  <si>
    <t>Aantal dieren</t>
  </si>
  <si>
    <t>gemiddelde prijs per kg (€/kg)</t>
  </si>
  <si>
    <t>gemiddeld aantal kg</t>
  </si>
  <si>
    <t>Aantal rammen</t>
  </si>
  <si>
    <t>Rammen</t>
  </si>
  <si>
    <t>totaal - bedrijfsresultaat</t>
  </si>
  <si>
    <t>zogen (2 lammeren) - eerste maand</t>
  </si>
  <si>
    <t>zogen (2 lammeren) - tweede maand</t>
  </si>
  <si>
    <t>zogen (2 lammeren) - laatste fase</t>
  </si>
  <si>
    <t>zomer (dagen)</t>
  </si>
  <si>
    <t>winter (dagen)</t>
  </si>
  <si>
    <t>Ruwvoeder (kg DS per dag)</t>
  </si>
  <si>
    <t>Krachtvoeder (kg DS per dag)</t>
  </si>
  <si>
    <t>opname kg ruwvoeder zomer/fase</t>
  </si>
  <si>
    <t>opname kg ruwvoeder winter/fase</t>
  </si>
  <si>
    <t>Opname kg krachtvoeder / fase</t>
  </si>
  <si>
    <t>nooit drachtig</t>
  </si>
  <si>
    <t>Berekening gebaseerd op:</t>
  </si>
  <si>
    <t>ruwvoeder zomer</t>
  </si>
  <si>
    <t>totaal kg DS krachtvoeder</t>
  </si>
  <si>
    <t>Aantal lammeren te voederen</t>
  </si>
  <si>
    <t>Ruwvoeder zomer - lammeren</t>
  </si>
  <si>
    <t>Krachtvoeder - lammeren</t>
  </si>
  <si>
    <t>kg DS ruwvoeder zomer</t>
  </si>
  <si>
    <t xml:space="preserve">kg DS krachtvoeder </t>
  </si>
  <si>
    <t>€/kg DS</t>
  </si>
  <si>
    <t>Voeder (kg DS)</t>
  </si>
  <si>
    <t>Totaal (kg DS)</t>
  </si>
  <si>
    <t>jaarbasis</t>
  </si>
  <si>
    <t>Stal</t>
  </si>
  <si>
    <t>Aanschafprijs</t>
  </si>
  <si>
    <t>Afschrijvingsduur</t>
  </si>
  <si>
    <t>jaar</t>
  </si>
  <si>
    <t>Afschrijvingskost</t>
  </si>
  <si>
    <t>Afschrijvingskost per ooi</t>
  </si>
  <si>
    <t>per jaar</t>
  </si>
  <si>
    <t>per jaar per ooi</t>
  </si>
  <si>
    <t>Aantal kg  per pak</t>
  </si>
  <si>
    <t>Aantal pakken per ooi</t>
  </si>
  <si>
    <t>Kostprijs per kg</t>
  </si>
  <si>
    <t>per kg</t>
  </si>
  <si>
    <t>Strokost per ooi</t>
  </si>
  <si>
    <t>Diergeneeskundige kosten</t>
  </si>
  <si>
    <t>Kost per ooi</t>
  </si>
  <si>
    <t>per ooi</t>
  </si>
  <si>
    <t>Stro</t>
  </si>
  <si>
    <t>Diensten</t>
  </si>
  <si>
    <t>FOD volksgezondheid</t>
  </si>
  <si>
    <t>DGZ</t>
  </si>
  <si>
    <t>Sanitel nummers</t>
  </si>
  <si>
    <t>Rendac</t>
  </si>
  <si>
    <t>FAVV</t>
  </si>
  <si>
    <t>Totaal - andere kosten</t>
  </si>
  <si>
    <t>Winst-verliesbalans</t>
  </si>
  <si>
    <t>Kosten</t>
  </si>
  <si>
    <t>Voeder</t>
  </si>
  <si>
    <t>Winst/verlies</t>
  </si>
  <si>
    <t>Intresten</t>
  </si>
  <si>
    <t>Intrestpercentage</t>
  </si>
  <si>
    <t>gemiddelde waarde ooi</t>
  </si>
  <si>
    <t>gemiddelde waarde ram</t>
  </si>
  <si>
    <t>per ram</t>
  </si>
  <si>
    <t>intrest levend kapitaal</t>
  </si>
  <si>
    <t>intrest stal</t>
  </si>
  <si>
    <t>totaal intrest</t>
  </si>
  <si>
    <t>totaal diensten</t>
  </si>
  <si>
    <t>totaal diergeneeskundige kosten</t>
  </si>
  <si>
    <t>totaal stro</t>
  </si>
  <si>
    <t>ruwvoeder winter</t>
  </si>
  <si>
    <t>basisgroei (eerste weken)</t>
  </si>
  <si>
    <t>gewichtstraject</t>
  </si>
  <si>
    <t>Opname ruwvoeder kg DS/dag</t>
  </si>
  <si>
    <t>levend gewicht (kg)</t>
  </si>
  <si>
    <t>groei per dag (kg)</t>
  </si>
  <si>
    <t>totaal kg DS</t>
  </si>
  <si>
    <t>start</t>
  </si>
  <si>
    <t>einde</t>
  </si>
  <si>
    <t>Zomerseizoen</t>
  </si>
  <si>
    <t>Winterseizoen</t>
  </si>
  <si>
    <t xml:space="preserve"> </t>
  </si>
  <si>
    <t xml:space="preserve">Klein materiaal </t>
  </si>
  <si>
    <t>kost per ooi</t>
  </si>
  <si>
    <t xml:space="preserve">Huidige waarde </t>
  </si>
  <si>
    <t>Leeftijd stal</t>
  </si>
  <si>
    <t>totaal klein materiaal</t>
  </si>
  <si>
    <t>verkoop lammeren</t>
  </si>
  <si>
    <t>verkoop reforme ooien</t>
  </si>
  <si>
    <t>verkoop wol</t>
  </si>
  <si>
    <t>Totaal (€)</t>
  </si>
  <si>
    <t>EU premies</t>
  </si>
  <si>
    <t>gemiddelde prijs per dier</t>
  </si>
  <si>
    <t>verkoop fokdieren - ooien</t>
  </si>
  <si>
    <t>verkoop fokdieren - rammen</t>
  </si>
  <si>
    <t>Verkoopbare fokdieren - ooien</t>
  </si>
  <si>
    <t>verkoopbare fokdieren - rammen</t>
  </si>
  <si>
    <t>eigen gebruik</t>
  </si>
  <si>
    <t>Eigen gebruik</t>
  </si>
  <si>
    <t>(geen inkomst)</t>
  </si>
  <si>
    <t>Belastingen en verzekeringen</t>
  </si>
  <si>
    <t>provinciale bedrijfsbelasting</t>
  </si>
  <si>
    <t>Verzekering bedrijfsaansprakelijkheid</t>
  </si>
  <si>
    <t>totaal belastingen en verzekeringen</t>
  </si>
  <si>
    <t>Overkoepelende kosten</t>
  </si>
  <si>
    <t>water en elektriciteitsverbruik</t>
  </si>
  <si>
    <t>verplaatsingskosten</t>
  </si>
  <si>
    <t>administratiekosten</t>
  </si>
  <si>
    <t>beroepskledij</t>
  </si>
  <si>
    <t>vergoeding per km</t>
  </si>
  <si>
    <t>andere kosten</t>
  </si>
  <si>
    <t>aantal km</t>
  </si>
  <si>
    <t>totaal overkoepelende kosten</t>
  </si>
  <si>
    <t>Kostprijs aankoop dieren</t>
  </si>
  <si>
    <t>Aankoop ooien</t>
  </si>
  <si>
    <t>Aankoop rammen</t>
  </si>
  <si>
    <t>gemiddelde aankoopprijs</t>
  </si>
  <si>
    <t>gebruiksduur (jaren)</t>
  </si>
  <si>
    <t>gemiddelde verkoopprijs</t>
  </si>
  <si>
    <t xml:space="preserve">Afschrijvingsbedrag per jaar </t>
  </si>
  <si>
    <t>jaarlijkse afschrijving aankoop dieren</t>
  </si>
  <si>
    <t>totaal</t>
  </si>
  <si>
    <t xml:space="preserve">Verkoopbare slachtlammeren </t>
  </si>
  <si>
    <t>brandverzekering, gebouwen, dieren</t>
  </si>
  <si>
    <t>afschrijving aankoop dieren</t>
  </si>
  <si>
    <t>Kosten kunstmatige opfok lammeren</t>
  </si>
  <si>
    <t xml:space="preserve">procent van de te voeden lammeren krijgen </t>
  </si>
  <si>
    <t xml:space="preserve">gedurende </t>
  </si>
  <si>
    <t xml:space="preserve">dagen </t>
  </si>
  <si>
    <t>liter kunstmelk per dag (= 0,2 kg poeder/liter)</t>
  </si>
  <si>
    <t xml:space="preserve">kunstmelkpoeder </t>
  </si>
  <si>
    <t>kg melkpoeder</t>
  </si>
  <si>
    <t>melkpoeder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</si>
</sst>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00"/>
    <numFmt numFmtId="167" formatCode="_ [$€-813]\ * #,##0.00_ ;_ [$€-813]\ * \-#,##0.00_ ;_ [$€-813]\ * &quot;-&quot;??_ ;_ @_ "/>
    <numFmt numFmtId="168" formatCode="_ &quot;€&quot;\ * #,##0_ ;_ &quot;€&quot;\ * \-#,##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0" borderId="0" xfId="0" applyFont="1"/>
    <xf numFmtId="165" fontId="0" fillId="0" borderId="0" xfId="0" applyNumberFormat="1"/>
    <xf numFmtId="166" fontId="0" fillId="3" borderId="0" xfId="0" applyNumberFormat="1" applyFill="1"/>
    <xf numFmtId="9" fontId="0" fillId="0" borderId="0" xfId="1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/>
    <xf numFmtId="2" fontId="3" fillId="2" borderId="0" xfId="0" applyNumberFormat="1" applyFont="1" applyFill="1"/>
    <xf numFmtId="1" fontId="0" fillId="0" borderId="0" xfId="0" applyNumberFormat="1" applyAlignment="1">
      <alignment wrapText="1"/>
    </xf>
    <xf numFmtId="0" fontId="2" fillId="4" borderId="0" xfId="0" applyFont="1" applyFill="1"/>
    <xf numFmtId="0" fontId="0" fillId="4" borderId="0" xfId="0" applyFill="1" applyAlignment="1">
      <alignment wrapText="1"/>
    </xf>
    <xf numFmtId="0" fontId="0" fillId="4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1" fontId="0" fillId="0" borderId="0" xfId="0" applyNumberFormat="1" applyFont="1"/>
    <xf numFmtId="0" fontId="0" fillId="0" borderId="0" xfId="0" applyFont="1"/>
    <xf numFmtId="164" fontId="0" fillId="2" borderId="0" xfId="2" applyNumberFormat="1" applyFont="1" applyFill="1"/>
    <xf numFmtId="164" fontId="0" fillId="2" borderId="0" xfId="0" applyNumberFormat="1" applyFill="1"/>
    <xf numFmtId="0" fontId="0" fillId="0" borderId="0" xfId="0" applyAlignment="1">
      <alignment horizontal="right"/>
    </xf>
    <xf numFmtId="2" fontId="0" fillId="0" borderId="0" xfId="0" applyNumberFormat="1" applyFill="1"/>
    <xf numFmtId="1" fontId="0" fillId="2" borderId="0" xfId="0" applyNumberFormat="1" applyFill="1"/>
    <xf numFmtId="167" fontId="0" fillId="0" borderId="0" xfId="0" applyNumberFormat="1"/>
    <xf numFmtId="167" fontId="3" fillId="0" borderId="0" xfId="0" applyNumberFormat="1" applyFont="1"/>
    <xf numFmtId="44" fontId="0" fillId="0" borderId="0" xfId="0" applyNumberFormat="1"/>
    <xf numFmtId="44" fontId="0" fillId="3" borderId="0" xfId="0" applyNumberFormat="1" applyFill="1"/>
    <xf numFmtId="44" fontId="0" fillId="0" borderId="0" xfId="3" applyFont="1"/>
    <xf numFmtId="44" fontId="0" fillId="3" borderId="0" xfId="3" applyFont="1" applyFill="1"/>
    <xf numFmtId="44" fontId="3" fillId="0" borderId="0" xfId="0" applyNumberFormat="1" applyFont="1"/>
    <xf numFmtId="168" fontId="0" fillId="0" borderId="0" xfId="3" applyNumberFormat="1" applyFont="1"/>
    <xf numFmtId="168" fontId="0" fillId="0" borderId="0" xfId="0" applyNumberFormat="1"/>
    <xf numFmtId="0" fontId="3" fillId="0" borderId="0" xfId="0" applyFont="1" applyAlignment="1">
      <alignment horizontal="right"/>
    </xf>
    <xf numFmtId="9" fontId="0" fillId="3" borderId="0" xfId="0" applyNumberFormat="1" applyFill="1"/>
    <xf numFmtId="166" fontId="0" fillId="0" borderId="0" xfId="0" applyNumberFormat="1" applyFill="1"/>
    <xf numFmtId="16" fontId="0" fillId="0" borderId="0" xfId="0" applyNumberFormat="1"/>
    <xf numFmtId="14" fontId="0" fillId="0" borderId="0" xfId="0" applyNumberFormat="1"/>
    <xf numFmtId="44" fontId="0" fillId="0" borderId="0" xfId="3" applyFont="1" applyFill="1"/>
    <xf numFmtId="44" fontId="0" fillId="4" borderId="0" xfId="3" applyFont="1" applyFill="1"/>
    <xf numFmtId="44" fontId="3" fillId="0" borderId="0" xfId="3" applyFont="1" applyFill="1"/>
    <xf numFmtId="0" fontId="5" fillId="2" borderId="0" xfId="0" applyFont="1" applyFill="1"/>
    <xf numFmtId="1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9" fontId="0" fillId="3" borderId="0" xfId="1" applyFont="1" applyFill="1" applyAlignment="1">
      <alignment wrapText="1"/>
    </xf>
    <xf numFmtId="44" fontId="3" fillId="3" borderId="0" xfId="0" applyNumberFormat="1" applyFont="1" applyFill="1"/>
    <xf numFmtId="44" fontId="3" fillId="0" borderId="0" xfId="0" applyNumberFormat="1" applyFont="1" applyFill="1"/>
    <xf numFmtId="168" fontId="0" fillId="3" borderId="0" xfId="0" applyNumberFormat="1" applyFill="1"/>
    <xf numFmtId="44" fontId="0" fillId="0" borderId="0" xfId="0" applyNumberFormat="1" applyFont="1"/>
    <xf numFmtId="44" fontId="0" fillId="0" borderId="0" xfId="0" applyNumberFormat="1" applyFont="1" applyAlignment="1">
      <alignment horizontal="right"/>
    </xf>
    <xf numFmtId="2" fontId="3" fillId="0" borderId="0" xfId="0" applyNumberFormat="1" applyFont="1"/>
    <xf numFmtId="44" fontId="0" fillId="2" borderId="0" xfId="3" applyFont="1" applyFill="1"/>
  </cellXfs>
  <cellStyles count="4">
    <cellStyle name="Komma" xfId="2" builtinId="3"/>
    <cellStyle name="Procent" xfId="1" builtinId="5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Verdeling kosten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4-5873-48EF-B8B2-0DE9D5C1BDA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5873-48EF-B8B2-0DE9D5C1BDA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5873-48EF-B8B2-0DE9D5C1BDA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5873-48EF-B8B2-0DE9D5C1BDA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8-5873-48EF-B8B2-0DE9D5C1BDA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5873-48EF-B8B2-0DE9D5C1BDA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A-5873-48EF-B8B2-0DE9D5C1BDAC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5873-48EF-B8B2-0DE9D5C1BDAC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5873-48EF-B8B2-0DE9D5C1BDAC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5873-48EF-B8B2-0DE9D5C1BDAC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E-5873-48EF-B8B2-0DE9D5C1BD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'Winst-verliesbalans'!$B$11:$B$21</c:f>
              <c:strCache>
                <c:ptCount val="11"/>
                <c:pt idx="0">
                  <c:v>Voeder</c:v>
                </c:pt>
                <c:pt idx="1">
                  <c:v>Stal</c:v>
                </c:pt>
                <c:pt idx="2">
                  <c:v>Diergeneeskundige kosten</c:v>
                </c:pt>
                <c:pt idx="3">
                  <c:v>Intresten</c:v>
                </c:pt>
                <c:pt idx="4">
                  <c:v>Klein materiaal </c:v>
                </c:pt>
                <c:pt idx="5">
                  <c:v>Diensten</c:v>
                </c:pt>
                <c:pt idx="6">
                  <c:v>Overkoepelende kosten</c:v>
                </c:pt>
                <c:pt idx="7">
                  <c:v>Stro</c:v>
                </c:pt>
                <c:pt idx="8">
                  <c:v>Belastingen en verzekeringen</c:v>
                </c:pt>
                <c:pt idx="9">
                  <c:v>afschrijving aankoop dieren</c:v>
                </c:pt>
                <c:pt idx="10">
                  <c:v>Andere kosten</c:v>
                </c:pt>
              </c:strCache>
            </c:strRef>
          </c:cat>
          <c:val>
            <c:numRef>
              <c:f>'Winst-verliesbalans'!$D$11:$D$21</c:f>
              <c:numCache>
                <c:formatCode>_("€"* #,##0.00_);_("€"* \(#,##0.00\);_("€"* "-"??_);_(@_)</c:formatCode>
                <c:ptCount val="11"/>
                <c:pt idx="0">
                  <c:v>12074.032358409091</c:v>
                </c:pt>
                <c:pt idx="1">
                  <c:v>1750</c:v>
                </c:pt>
                <c:pt idx="2">
                  <c:v>1250</c:v>
                </c:pt>
                <c:pt idx="3">
                  <c:v>810</c:v>
                </c:pt>
                <c:pt idx="4">
                  <c:v>300</c:v>
                </c:pt>
                <c:pt idx="5">
                  <c:v>462.36799999999999</c:v>
                </c:pt>
                <c:pt idx="6">
                  <c:v>1336.3</c:v>
                </c:pt>
                <c:pt idx="7">
                  <c:v>288</c:v>
                </c:pt>
                <c:pt idx="8">
                  <c:v>575</c:v>
                </c:pt>
                <c:pt idx="9">
                  <c:v>33.333333333333336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3-5873-48EF-B8B2-0DE9D5C1BDAC}"/>
            </c:ext>
          </c:extLst>
        </c:ser>
        <c:ser>
          <c:idx val="0"/>
          <c:order val="1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5873-48EF-B8B2-0DE9D5C1BDA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5873-48EF-B8B2-0DE9D5C1BDA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5873-48EF-B8B2-0DE9D5C1BDA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5873-48EF-B8B2-0DE9D5C1BDA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5873-48EF-B8B2-0DE9D5C1BDA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5873-48EF-B8B2-0DE9D5C1BDA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5873-48EF-B8B2-0DE9D5C1BDAC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5873-48EF-B8B2-0DE9D5C1BDAC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5873-48EF-B8B2-0DE9D5C1BDAC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5873-48EF-B8B2-0DE9D5C1BDAC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5873-48EF-B8B2-0DE9D5C1BD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'Winst-verliesbalans'!$B$11:$B$21</c:f>
              <c:strCache>
                <c:ptCount val="11"/>
                <c:pt idx="0">
                  <c:v>Voeder</c:v>
                </c:pt>
                <c:pt idx="1">
                  <c:v>Stal</c:v>
                </c:pt>
                <c:pt idx="2">
                  <c:v>Diergeneeskundige kosten</c:v>
                </c:pt>
                <c:pt idx="3">
                  <c:v>Intresten</c:v>
                </c:pt>
                <c:pt idx="4">
                  <c:v>Klein materiaal </c:v>
                </c:pt>
                <c:pt idx="5">
                  <c:v>Diensten</c:v>
                </c:pt>
                <c:pt idx="6">
                  <c:v>Overkoepelende kosten</c:v>
                </c:pt>
                <c:pt idx="7">
                  <c:v>Stro</c:v>
                </c:pt>
                <c:pt idx="8">
                  <c:v>Belastingen en verzekeringen</c:v>
                </c:pt>
                <c:pt idx="9">
                  <c:v>afschrijving aankoop dieren</c:v>
                </c:pt>
                <c:pt idx="10">
                  <c:v>Andere kosten</c:v>
                </c:pt>
              </c:strCache>
            </c:strRef>
          </c:cat>
          <c:val>
            <c:numRef>
              <c:f>'Winst-verliesbalans'!$D$11:$D$21</c:f>
              <c:numCache>
                <c:formatCode>_("€"* #,##0.00_);_("€"* \(#,##0.00\);_("€"* "-"??_);_(@_)</c:formatCode>
                <c:ptCount val="11"/>
                <c:pt idx="0">
                  <c:v>12074.032358409091</c:v>
                </c:pt>
                <c:pt idx="1">
                  <c:v>1750</c:v>
                </c:pt>
                <c:pt idx="2">
                  <c:v>1250</c:v>
                </c:pt>
                <c:pt idx="3">
                  <c:v>810</c:v>
                </c:pt>
                <c:pt idx="4">
                  <c:v>300</c:v>
                </c:pt>
                <c:pt idx="5">
                  <c:v>462.36799999999999</c:v>
                </c:pt>
                <c:pt idx="6">
                  <c:v>1336.3</c:v>
                </c:pt>
                <c:pt idx="7">
                  <c:v>288</c:v>
                </c:pt>
                <c:pt idx="8">
                  <c:v>575</c:v>
                </c:pt>
                <c:pt idx="9">
                  <c:v>33.333333333333336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2-5873-48EF-B8B2-0DE9D5C1BD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Verdeling opbrengsten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'Winst-verliesbalans'!$B$4:$B$10</c:f>
              <c:strCache>
                <c:ptCount val="7"/>
                <c:pt idx="0">
                  <c:v>verkoop lammeren</c:v>
                </c:pt>
                <c:pt idx="1">
                  <c:v>verkoop reforme ooien</c:v>
                </c:pt>
                <c:pt idx="2">
                  <c:v>verkoop wol</c:v>
                </c:pt>
                <c:pt idx="3">
                  <c:v>verkoop fokdieren - ooien</c:v>
                </c:pt>
                <c:pt idx="4">
                  <c:v>verkoop fokdieren - rammen</c:v>
                </c:pt>
                <c:pt idx="5">
                  <c:v>eigen gebruik</c:v>
                </c:pt>
                <c:pt idx="6">
                  <c:v>EU premies</c:v>
                </c:pt>
              </c:strCache>
            </c:strRef>
          </c:cat>
          <c:val>
            <c:numRef>
              <c:f>'Winst-verliesbalans'!$C$4:$C$10</c:f>
              <c:numCache>
                <c:formatCode>_("€"* #,##0.00_);_("€"* \(#,##0.00\);_("€"* "-"??_);_(@_)</c:formatCode>
                <c:ptCount val="7"/>
                <c:pt idx="0">
                  <c:v>15734.4</c:v>
                </c:pt>
                <c:pt idx="1">
                  <c:v>950</c:v>
                </c:pt>
                <c:pt idx="2">
                  <c:v>412</c:v>
                </c:pt>
                <c:pt idx="3">
                  <c:v>150</c:v>
                </c:pt>
                <c:pt idx="4">
                  <c:v>200</c:v>
                </c:pt>
                <c:pt idx="5">
                  <c:v>105.6</c:v>
                </c:pt>
                <c:pt idx="6">
                  <c:v>1600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CF-4C0E-9FE2-6002E6438E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1066800</xdr:colOff>
      <xdr:row>2</xdr:row>
      <xdr:rowOff>0</xdr:rowOff>
    </xdr:from>
    <xdr:to>
      <xdr:col>17</xdr:col>
      <xdr:colOff>457200</xdr:colOff>
      <xdr:row>25</xdr:row>
      <xdr:rowOff>9525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98F37B3A-2BD7-4454-89D7-ABAF543AD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1</xdr:row>
      <xdr:rowOff>190499</xdr:rowOff>
    </xdr:from>
    <xdr:to>
      <xdr:col>9</xdr:col>
      <xdr:colOff>1066799</xdr:colOff>
      <xdr:row>24</xdr:row>
      <xdr:rowOff>161924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613932B3-3B69-44D7-B69B-BEA4B9391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20" zoomScaleNormal="120" workbookViewId="0">
      <selection activeCell="C12" sqref="C12"/>
    </sheetView>
  </sheetViews>
  <sheetFormatPr defaultRowHeight="15" x14ac:dyDescent="0.25"/>
  <cols>
    <col min="1" max="1" width="33.140625" customWidth="1"/>
    <col min="2" max="2" width="11.5703125" style="1" customWidth="1"/>
    <col min="3" max="3" width="13.140625" style="1" customWidth="1"/>
    <col min="7" max="7" width="32.85546875" customWidth="1"/>
    <col min="8" max="8" width="13.42578125" customWidth="1"/>
    <col min="9" max="9" width="12.85546875" customWidth="1"/>
  </cols>
  <sheetData>
    <row r="1" spans="1:10" s="17" customFormat="1" ht="21" x14ac:dyDescent="0.35">
      <c r="A1" s="15" t="s">
        <v>1</v>
      </c>
      <c r="B1" s="16"/>
      <c r="C1" s="16"/>
    </row>
    <row r="3" spans="1:10" x14ac:dyDescent="0.25">
      <c r="A3" s="7" t="s">
        <v>0</v>
      </c>
      <c r="G3" s="7" t="s">
        <v>42</v>
      </c>
    </row>
    <row r="4" spans="1:10" x14ac:dyDescent="0.25">
      <c r="A4" t="s">
        <v>2</v>
      </c>
      <c r="B4" s="47">
        <v>100</v>
      </c>
      <c r="H4" t="s">
        <v>9</v>
      </c>
      <c r="I4" t="s">
        <v>4</v>
      </c>
      <c r="J4" t="s">
        <v>87</v>
      </c>
    </row>
    <row r="5" spans="1:10" x14ac:dyDescent="0.25">
      <c r="A5" t="s">
        <v>3</v>
      </c>
      <c r="B5" s="48">
        <v>0.2</v>
      </c>
      <c r="G5" t="s">
        <v>10</v>
      </c>
      <c r="H5" t="s">
        <v>11</v>
      </c>
      <c r="I5" s="2">
        <f>B4*B5</f>
        <v>20</v>
      </c>
    </row>
    <row r="6" spans="1:10" x14ac:dyDescent="0.25">
      <c r="B6" s="10"/>
      <c r="G6" t="s">
        <v>18</v>
      </c>
      <c r="H6" s="3">
        <f>I5</f>
        <v>20</v>
      </c>
      <c r="I6" s="3">
        <f>B4-I5</f>
        <v>80</v>
      </c>
    </row>
    <row r="7" spans="1:10" ht="30" x14ac:dyDescent="0.25">
      <c r="B7" s="1" t="s">
        <v>9</v>
      </c>
      <c r="C7" s="1" t="s">
        <v>4</v>
      </c>
      <c r="G7" t="s">
        <v>12</v>
      </c>
      <c r="H7" s="2">
        <f>B8*H6</f>
        <v>17</v>
      </c>
      <c r="I7" s="2">
        <f>I6*C8</f>
        <v>76</v>
      </c>
    </row>
    <row r="8" spans="1:10" ht="15.75" customHeight="1" x14ac:dyDescent="0.25">
      <c r="A8" t="s">
        <v>5</v>
      </c>
      <c r="B8" s="48">
        <v>0.85</v>
      </c>
      <c r="C8" s="48">
        <v>0.95</v>
      </c>
      <c r="G8" t="s">
        <v>13</v>
      </c>
      <c r="H8" s="2">
        <f>H7*B9</f>
        <v>25.5</v>
      </c>
      <c r="I8" s="2">
        <f>I7*C9</f>
        <v>171</v>
      </c>
    </row>
    <row r="9" spans="1:10" x14ac:dyDescent="0.25">
      <c r="A9" t="s">
        <v>6</v>
      </c>
      <c r="B9" s="47">
        <v>1.5</v>
      </c>
      <c r="C9" s="47">
        <v>2.25</v>
      </c>
      <c r="G9" t="s">
        <v>14</v>
      </c>
      <c r="H9" s="2">
        <f>H8*B10</f>
        <v>3.8249999999999997</v>
      </c>
      <c r="I9" s="2">
        <f>I8*C10</f>
        <v>17.100000000000001</v>
      </c>
    </row>
    <row r="10" spans="1:10" x14ac:dyDescent="0.25">
      <c r="A10" t="s">
        <v>7</v>
      </c>
      <c r="B10" s="48">
        <v>0.15</v>
      </c>
      <c r="C10" s="48">
        <v>0.1</v>
      </c>
      <c r="G10" t="s">
        <v>15</v>
      </c>
      <c r="H10" s="2">
        <f>H8-H9</f>
        <v>21.675000000000001</v>
      </c>
      <c r="I10" s="2">
        <f>I8-I9</f>
        <v>153.9</v>
      </c>
    </row>
    <row r="11" spans="1:10" x14ac:dyDescent="0.25">
      <c r="A11" t="s">
        <v>8</v>
      </c>
      <c r="B11" s="48">
        <v>0.05</v>
      </c>
      <c r="C11" s="48">
        <v>0.05</v>
      </c>
      <c r="G11" t="s">
        <v>16</v>
      </c>
      <c r="H11" s="3">
        <f>($B$12/365)*B11*H10</f>
        <v>0.43997820672478216</v>
      </c>
      <c r="I11" s="3">
        <f>($B$12/365)*C11*I10</f>
        <v>3.1239975093399757</v>
      </c>
    </row>
    <row r="12" spans="1:10" x14ac:dyDescent="0.25">
      <c r="A12" t="s">
        <v>19</v>
      </c>
      <c r="B12" s="14">
        <f>'voeder lammeren'!C20</f>
        <v>148.18181818181819</v>
      </c>
      <c r="G12" t="s">
        <v>17</v>
      </c>
      <c r="H12" s="3">
        <f>I5</f>
        <v>20</v>
      </c>
      <c r="I12" s="3"/>
    </row>
    <row r="13" spans="1:10" x14ac:dyDescent="0.25">
      <c r="B13" s="14"/>
      <c r="G13" s="6" t="s">
        <v>82</v>
      </c>
      <c r="H13" s="6"/>
      <c r="I13" s="26">
        <f>ROUND(I5*(1-C11),0)</f>
        <v>19</v>
      </c>
    </row>
    <row r="14" spans="1:10" x14ac:dyDescent="0.25">
      <c r="A14" t="s">
        <v>176</v>
      </c>
      <c r="B14" s="46">
        <v>1</v>
      </c>
      <c r="G14" t="s">
        <v>86</v>
      </c>
      <c r="J14">
        <f>ROUND(B4/30,0)</f>
        <v>3</v>
      </c>
    </row>
    <row r="15" spans="1:10" x14ac:dyDescent="0.25">
      <c r="A15" t="s">
        <v>177</v>
      </c>
      <c r="B15" s="46">
        <v>1</v>
      </c>
    </row>
    <row r="16" spans="1:10" x14ac:dyDescent="0.25">
      <c r="A16" t="s">
        <v>179</v>
      </c>
      <c r="B16" s="46">
        <v>1</v>
      </c>
    </row>
    <row r="18" spans="1:3" x14ac:dyDescent="0.25">
      <c r="A18" s="4" t="s">
        <v>43</v>
      </c>
      <c r="B18" s="11"/>
      <c r="C18" s="11"/>
    </row>
    <row r="19" spans="1:3" x14ac:dyDescent="0.25">
      <c r="A19" s="12" t="s">
        <v>203</v>
      </c>
      <c r="B19" s="13">
        <f>H10+I10-H11-I11-H12-B14-B15-B16</f>
        <v>149.01102428393526</v>
      </c>
      <c r="C19" s="11"/>
    </row>
  </sheetData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B21" sqref="B21"/>
    </sheetView>
  </sheetViews>
  <sheetFormatPr defaultRowHeight="15" x14ac:dyDescent="0.25"/>
  <cols>
    <col min="2" max="2" width="28.28515625" customWidth="1"/>
    <col min="3" max="3" width="17.42578125" customWidth="1"/>
    <col min="4" max="4" width="14" customWidth="1"/>
    <col min="9" max="9" width="27.42578125" customWidth="1"/>
    <col min="10" max="10" width="16.140625" customWidth="1"/>
  </cols>
  <sheetData>
    <row r="1" spans="1:4" s="15" customFormat="1" ht="21" x14ac:dyDescent="0.35">
      <c r="A1" s="15" t="s">
        <v>136</v>
      </c>
    </row>
    <row r="3" spans="1:4" x14ac:dyDescent="0.25">
      <c r="C3" s="37" t="s">
        <v>69</v>
      </c>
      <c r="D3" s="37" t="s">
        <v>137</v>
      </c>
    </row>
    <row r="4" spans="1:4" x14ac:dyDescent="0.25">
      <c r="B4" t="s">
        <v>168</v>
      </c>
      <c r="C4" s="53">
        <f>Opbrengsten!G5</f>
        <v>15734.4</v>
      </c>
      <c r="D4" s="37"/>
    </row>
    <row r="5" spans="1:4" x14ac:dyDescent="0.25">
      <c r="B5" t="s">
        <v>169</v>
      </c>
      <c r="C5" s="53">
        <f>Opbrengsten!G6</f>
        <v>950</v>
      </c>
      <c r="D5" s="37"/>
    </row>
    <row r="6" spans="1:4" x14ac:dyDescent="0.25">
      <c r="B6" t="s">
        <v>170</v>
      </c>
      <c r="C6" s="53">
        <f>Opbrengsten!G7</f>
        <v>412</v>
      </c>
      <c r="D6" s="37"/>
    </row>
    <row r="7" spans="1:4" x14ac:dyDescent="0.25">
      <c r="B7" t="s">
        <v>174</v>
      </c>
      <c r="C7" s="53">
        <f>Opbrengsten!G8</f>
        <v>150</v>
      </c>
      <c r="D7" s="37"/>
    </row>
    <row r="8" spans="1:4" x14ac:dyDescent="0.25">
      <c r="B8" t="s">
        <v>175</v>
      </c>
      <c r="C8" s="53">
        <f>Opbrengsten!G9</f>
        <v>200</v>
      </c>
      <c r="D8" s="37"/>
    </row>
    <row r="9" spans="1:4" x14ac:dyDescent="0.25">
      <c r="B9" t="s">
        <v>178</v>
      </c>
      <c r="C9" s="53">
        <f>Opbrengsten!G10</f>
        <v>105.6</v>
      </c>
      <c r="D9" s="35"/>
    </row>
    <row r="10" spans="1:4" x14ac:dyDescent="0.25">
      <c r="B10" t="s">
        <v>172</v>
      </c>
      <c r="C10" s="53">
        <f>Opbrengsten!G11</f>
        <v>1600</v>
      </c>
      <c r="D10" s="35"/>
    </row>
    <row r="11" spans="1:4" x14ac:dyDescent="0.25">
      <c r="B11" t="s">
        <v>138</v>
      </c>
      <c r="C11" s="52"/>
      <c r="D11" s="52">
        <f>'kostprijs voeder'!D21</f>
        <v>12074.032358409091</v>
      </c>
    </row>
    <row r="12" spans="1:4" x14ac:dyDescent="0.25">
      <c r="B12" t="str">
        <f>'Andere kosten'!B3</f>
        <v>Stal</v>
      </c>
      <c r="D12" s="30">
        <f>'Andere kosten'!C10</f>
        <v>1750</v>
      </c>
    </row>
    <row r="13" spans="1:4" x14ac:dyDescent="0.25">
      <c r="B13" t="str">
        <f>'Andere kosten'!B23</f>
        <v>Diergeneeskundige kosten</v>
      </c>
      <c r="D13" s="30">
        <f>'Andere kosten'!C26</f>
        <v>1250</v>
      </c>
    </row>
    <row r="14" spans="1:4" x14ac:dyDescent="0.25">
      <c r="B14" t="str">
        <f>'Andere kosten'!B37</f>
        <v>Intresten</v>
      </c>
      <c r="D14" s="30">
        <f>'Andere kosten'!C45</f>
        <v>810</v>
      </c>
    </row>
    <row r="15" spans="1:4" x14ac:dyDescent="0.25">
      <c r="B15" t="str">
        <f>'Andere kosten'!B47</f>
        <v xml:space="preserve">Klein materiaal </v>
      </c>
      <c r="D15" s="30">
        <f>'Andere kosten'!C50</f>
        <v>300</v>
      </c>
    </row>
    <row r="16" spans="1:4" x14ac:dyDescent="0.25">
      <c r="B16" t="str">
        <f>'Andere kosten'!B28</f>
        <v>Diensten</v>
      </c>
      <c r="D16" s="30">
        <f>'Andere kosten'!C35</f>
        <v>462.36799999999999</v>
      </c>
    </row>
    <row r="17" spans="2:10" x14ac:dyDescent="0.25">
      <c r="B17" t="str">
        <f>'Andere kosten'!B59</f>
        <v>Overkoepelende kosten</v>
      </c>
      <c r="D17" s="30">
        <f>'Andere kosten'!C65</f>
        <v>1336.3</v>
      </c>
    </row>
    <row r="18" spans="2:10" x14ac:dyDescent="0.25">
      <c r="B18" t="str">
        <f>'Andere kosten'!B14</f>
        <v>Stro</v>
      </c>
      <c r="D18" s="30">
        <f>'Andere kosten'!C21</f>
        <v>288</v>
      </c>
    </row>
    <row r="19" spans="2:10" x14ac:dyDescent="0.25">
      <c r="B19" t="str">
        <f>'Andere kosten'!B52</f>
        <v>Belastingen en verzekeringen</v>
      </c>
      <c r="D19" s="30">
        <f>'Andere kosten'!C57</f>
        <v>575</v>
      </c>
    </row>
    <row r="20" spans="2:10" x14ac:dyDescent="0.25">
      <c r="B20" t="s">
        <v>205</v>
      </c>
      <c r="D20" s="30">
        <f>'aankoop dieren'!C9</f>
        <v>33.333333333333336</v>
      </c>
    </row>
    <row r="21" spans="2:10" x14ac:dyDescent="0.25">
      <c r="B21" t="str">
        <f>'Andere kosten'!B67</f>
        <v>Andere kosten</v>
      </c>
      <c r="D21" s="30">
        <f>'Andere kosten'!C69</f>
        <v>0</v>
      </c>
    </row>
    <row r="23" spans="2:10" x14ac:dyDescent="0.25">
      <c r="B23" t="s">
        <v>202</v>
      </c>
      <c r="C23" s="36">
        <f>SUM(C4:C21)</f>
        <v>19152</v>
      </c>
      <c r="D23" s="36">
        <f>SUM(D9:D21)</f>
        <v>18879.033691742421</v>
      </c>
      <c r="J23" s="30"/>
    </row>
    <row r="25" spans="2:10" x14ac:dyDescent="0.25">
      <c r="B25" t="s">
        <v>139</v>
      </c>
      <c r="C25" s="30">
        <f>C23-D23</f>
        <v>272.96630825757893</v>
      </c>
    </row>
  </sheetData>
  <sortState ref="C5:D15">
    <sortCondition descending="1" ref="D5:D1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20" zoomScaleNormal="120" workbookViewId="0">
      <selection activeCell="K17" sqref="K17"/>
    </sheetView>
  </sheetViews>
  <sheetFormatPr defaultRowHeight="15" x14ac:dyDescent="0.25"/>
  <cols>
    <col min="1" max="1" width="40.7109375" customWidth="1"/>
    <col min="4" max="4" width="3.85546875" customWidth="1"/>
    <col min="5" max="5" width="16" customWidth="1"/>
    <col min="6" max="13" width="8.42578125" customWidth="1"/>
  </cols>
  <sheetData>
    <row r="1" spans="1:13" s="15" customFormat="1" ht="21" x14ac:dyDescent="0.35">
      <c r="A1" s="15" t="s">
        <v>20</v>
      </c>
    </row>
    <row r="2" spans="1:13" s="18" customFormat="1" ht="21" x14ac:dyDescent="0.35"/>
    <row r="3" spans="1:13" x14ac:dyDescent="0.25">
      <c r="A3" s="7" t="s">
        <v>0</v>
      </c>
      <c r="E3" s="7" t="s">
        <v>44</v>
      </c>
    </row>
    <row r="4" spans="1:13" x14ac:dyDescent="0.25">
      <c r="A4" t="s">
        <v>33</v>
      </c>
      <c r="B4" s="39">
        <f>('voeder lammeren'!J5*'voeder lammeren'!M5+'voeder lammeren'!J6*'voeder lammeren'!M6+'voeder lammeren'!J7*'voeder lammeren'!M7+'voeder lammeren'!J8*'voeder lammeren'!M8+'voeder lammeren'!J9*'voeder lammeren'!M9+'voeder lammeren'!C4*'voeder lammeren'!C7)/('voeder lammeren'!C7+'voeder lammeren'!M11)</f>
        <v>0.26993865030674846</v>
      </c>
      <c r="C4" t="s">
        <v>25</v>
      </c>
    </row>
    <row r="5" spans="1:13" x14ac:dyDescent="0.25">
      <c r="B5" s="39"/>
      <c r="E5" t="s">
        <v>26</v>
      </c>
      <c r="F5">
        <v>1.5</v>
      </c>
      <c r="G5">
        <v>2</v>
      </c>
      <c r="H5">
        <v>2.5</v>
      </c>
      <c r="I5">
        <v>3</v>
      </c>
      <c r="J5">
        <v>3.5</v>
      </c>
      <c r="K5">
        <v>4</v>
      </c>
      <c r="L5">
        <v>4.5</v>
      </c>
      <c r="M5">
        <v>5</v>
      </c>
    </row>
    <row r="6" spans="1:13" x14ac:dyDescent="0.25">
      <c r="B6" s="6"/>
      <c r="E6" t="s">
        <v>27</v>
      </c>
    </row>
    <row r="7" spans="1:13" x14ac:dyDescent="0.25">
      <c r="E7">
        <v>40</v>
      </c>
      <c r="F7" s="2">
        <f>($E7-F$5)/$B$4</f>
        <v>142.625</v>
      </c>
      <c r="G7" s="2">
        <f t="shared" ref="F7:M17" si="0">($E7-G$5)/$B$4</f>
        <v>140.77272727272728</v>
      </c>
      <c r="H7" s="2">
        <f t="shared" si="0"/>
        <v>138.92045454545456</v>
      </c>
      <c r="I7" s="2">
        <f t="shared" si="0"/>
        <v>137.06818181818181</v>
      </c>
      <c r="J7" s="2">
        <f t="shared" si="0"/>
        <v>135.21590909090909</v>
      </c>
      <c r="K7" s="2">
        <f t="shared" si="0"/>
        <v>133.36363636363637</v>
      </c>
      <c r="L7" s="2">
        <f t="shared" si="0"/>
        <v>131.51136363636363</v>
      </c>
      <c r="M7" s="2">
        <f t="shared" si="0"/>
        <v>129.65909090909091</v>
      </c>
    </row>
    <row r="8" spans="1:13" x14ac:dyDescent="0.25">
      <c r="B8" s="2"/>
      <c r="E8">
        <v>41</v>
      </c>
      <c r="F8" s="2">
        <f t="shared" si="0"/>
        <v>146.32954545454547</v>
      </c>
      <c r="G8" s="2">
        <f t="shared" si="0"/>
        <v>144.47727272727272</v>
      </c>
      <c r="H8" s="2">
        <f t="shared" si="0"/>
        <v>142.625</v>
      </c>
      <c r="I8" s="2">
        <f t="shared" si="0"/>
        <v>140.77272727272728</v>
      </c>
      <c r="J8" s="2">
        <f t="shared" si="0"/>
        <v>138.92045454545456</v>
      </c>
      <c r="K8" s="2">
        <f t="shared" si="0"/>
        <v>137.06818181818181</v>
      </c>
      <c r="L8" s="2">
        <f t="shared" si="0"/>
        <v>135.21590909090909</v>
      </c>
      <c r="M8" s="2">
        <f t="shared" si="0"/>
        <v>133.36363636363637</v>
      </c>
    </row>
    <row r="9" spans="1:13" x14ac:dyDescent="0.25">
      <c r="E9">
        <v>42</v>
      </c>
      <c r="F9" s="2">
        <f t="shared" si="0"/>
        <v>150.03409090909091</v>
      </c>
      <c r="G9" s="2">
        <f t="shared" si="0"/>
        <v>148.18181818181819</v>
      </c>
      <c r="H9" s="2">
        <f t="shared" si="0"/>
        <v>146.32954545454547</v>
      </c>
      <c r="I9" s="2">
        <f t="shared" si="0"/>
        <v>144.47727272727272</v>
      </c>
      <c r="J9" s="2">
        <f t="shared" si="0"/>
        <v>142.625</v>
      </c>
      <c r="K9" s="2">
        <f t="shared" si="0"/>
        <v>140.77272727272728</v>
      </c>
      <c r="L9" s="2">
        <f t="shared" si="0"/>
        <v>138.92045454545456</v>
      </c>
      <c r="M9" s="2">
        <f t="shared" si="0"/>
        <v>137.06818181818181</v>
      </c>
    </row>
    <row r="10" spans="1:13" x14ac:dyDescent="0.25">
      <c r="E10">
        <v>43</v>
      </c>
      <c r="F10" s="2">
        <f t="shared" si="0"/>
        <v>153.73863636363637</v>
      </c>
      <c r="G10" s="2">
        <f t="shared" si="0"/>
        <v>151.88636363636363</v>
      </c>
      <c r="H10" s="2">
        <f t="shared" si="0"/>
        <v>150.03409090909091</v>
      </c>
      <c r="I10" s="2">
        <f t="shared" si="0"/>
        <v>148.18181818181819</v>
      </c>
      <c r="J10" s="2">
        <f t="shared" si="0"/>
        <v>146.32954545454547</v>
      </c>
      <c r="K10" s="2">
        <f t="shared" si="0"/>
        <v>144.47727272727272</v>
      </c>
      <c r="L10" s="2">
        <f t="shared" si="0"/>
        <v>142.625</v>
      </c>
      <c r="M10" s="2">
        <f t="shared" si="0"/>
        <v>140.77272727272728</v>
      </c>
    </row>
    <row r="11" spans="1:13" x14ac:dyDescent="0.25">
      <c r="E11">
        <v>44</v>
      </c>
      <c r="F11" s="2">
        <f t="shared" si="0"/>
        <v>157.44318181818181</v>
      </c>
      <c r="G11" s="2">
        <f t="shared" si="0"/>
        <v>155.59090909090909</v>
      </c>
      <c r="H11" s="2">
        <f t="shared" si="0"/>
        <v>153.73863636363637</v>
      </c>
      <c r="I11" s="2">
        <f t="shared" si="0"/>
        <v>151.88636363636363</v>
      </c>
      <c r="J11" s="2">
        <f t="shared" si="0"/>
        <v>150.03409090909091</v>
      </c>
      <c r="K11" s="2">
        <f t="shared" si="0"/>
        <v>148.18181818181819</v>
      </c>
      <c r="L11" s="2">
        <f t="shared" si="0"/>
        <v>146.32954545454547</v>
      </c>
      <c r="M11" s="2">
        <f t="shared" si="0"/>
        <v>144.47727272727272</v>
      </c>
    </row>
    <row r="12" spans="1:13" x14ac:dyDescent="0.25">
      <c r="E12">
        <v>45</v>
      </c>
      <c r="F12" s="2">
        <f t="shared" si="0"/>
        <v>161.14772727272728</v>
      </c>
      <c r="G12" s="2">
        <f t="shared" si="0"/>
        <v>159.29545454545456</v>
      </c>
      <c r="H12" s="2">
        <f t="shared" si="0"/>
        <v>157.44318181818181</v>
      </c>
      <c r="I12" s="2">
        <f t="shared" si="0"/>
        <v>155.59090909090909</v>
      </c>
      <c r="J12" s="2">
        <f t="shared" si="0"/>
        <v>153.73863636363637</v>
      </c>
      <c r="K12" s="2">
        <f t="shared" si="0"/>
        <v>151.88636363636363</v>
      </c>
      <c r="L12" s="2">
        <f t="shared" si="0"/>
        <v>150.03409090909091</v>
      </c>
      <c r="M12" s="2">
        <f t="shared" si="0"/>
        <v>148.18181818181819</v>
      </c>
    </row>
    <row r="13" spans="1:13" x14ac:dyDescent="0.25">
      <c r="E13">
        <v>46</v>
      </c>
      <c r="F13" s="2">
        <f t="shared" si="0"/>
        <v>164.85227272727272</v>
      </c>
      <c r="G13" s="2">
        <f t="shared" si="0"/>
        <v>163</v>
      </c>
      <c r="H13" s="2">
        <f t="shared" si="0"/>
        <v>161.14772727272728</v>
      </c>
      <c r="I13" s="2">
        <f t="shared" si="0"/>
        <v>159.29545454545456</v>
      </c>
      <c r="J13" s="2">
        <f t="shared" si="0"/>
        <v>157.44318181818181</v>
      </c>
      <c r="K13" s="2">
        <f t="shared" si="0"/>
        <v>155.59090909090909</v>
      </c>
      <c r="L13" s="2">
        <f t="shared" si="0"/>
        <v>153.73863636363637</v>
      </c>
      <c r="M13" s="2">
        <f t="shared" si="0"/>
        <v>151.88636363636363</v>
      </c>
    </row>
    <row r="14" spans="1:13" x14ac:dyDescent="0.25">
      <c r="E14">
        <v>47</v>
      </c>
      <c r="F14" s="2">
        <f t="shared" si="0"/>
        <v>168.55681818181819</v>
      </c>
      <c r="G14" s="2">
        <f t="shared" si="0"/>
        <v>166.70454545454547</v>
      </c>
      <c r="H14" s="2">
        <f t="shared" si="0"/>
        <v>164.85227272727272</v>
      </c>
      <c r="I14" s="2">
        <f t="shared" si="0"/>
        <v>163</v>
      </c>
      <c r="J14" s="2">
        <f t="shared" si="0"/>
        <v>161.14772727272728</v>
      </c>
      <c r="K14" s="2">
        <f t="shared" si="0"/>
        <v>159.29545454545456</v>
      </c>
      <c r="L14" s="2">
        <f t="shared" si="0"/>
        <v>157.44318181818181</v>
      </c>
      <c r="M14" s="2">
        <f t="shared" si="0"/>
        <v>155.59090909090909</v>
      </c>
    </row>
    <row r="15" spans="1:13" x14ac:dyDescent="0.25">
      <c r="E15">
        <v>48</v>
      </c>
      <c r="F15" s="2">
        <f t="shared" si="0"/>
        <v>172.26136363636363</v>
      </c>
      <c r="G15" s="2">
        <f t="shared" si="0"/>
        <v>170.40909090909091</v>
      </c>
      <c r="H15" s="2">
        <f t="shared" si="0"/>
        <v>168.55681818181819</v>
      </c>
      <c r="I15" s="2">
        <f t="shared" si="0"/>
        <v>166.70454545454547</v>
      </c>
      <c r="J15" s="2">
        <f t="shared" si="0"/>
        <v>164.85227272727272</v>
      </c>
      <c r="K15" s="2">
        <f t="shared" si="0"/>
        <v>163</v>
      </c>
      <c r="L15" s="2">
        <f t="shared" si="0"/>
        <v>161.14772727272728</v>
      </c>
      <c r="M15" s="2">
        <f t="shared" si="0"/>
        <v>159.29545454545456</v>
      </c>
    </row>
    <row r="16" spans="1:13" x14ac:dyDescent="0.25">
      <c r="E16">
        <v>49</v>
      </c>
      <c r="F16" s="2">
        <f t="shared" si="0"/>
        <v>175.96590909090909</v>
      </c>
      <c r="G16" s="2">
        <f t="shared" si="0"/>
        <v>174.11363636363637</v>
      </c>
      <c r="H16" s="2">
        <f t="shared" si="0"/>
        <v>172.26136363636363</v>
      </c>
      <c r="I16" s="2">
        <f t="shared" si="0"/>
        <v>170.40909090909091</v>
      </c>
      <c r="J16" s="2">
        <f t="shared" si="0"/>
        <v>168.55681818181819</v>
      </c>
      <c r="K16" s="2">
        <f t="shared" si="0"/>
        <v>166.70454545454547</v>
      </c>
      <c r="L16" s="2">
        <f t="shared" si="0"/>
        <v>164.85227272727272</v>
      </c>
      <c r="M16" s="2">
        <f t="shared" si="0"/>
        <v>163</v>
      </c>
    </row>
    <row r="17" spans="5:13" x14ac:dyDescent="0.25">
      <c r="E17">
        <v>50</v>
      </c>
      <c r="F17" s="2">
        <f t="shared" si="0"/>
        <v>179.67045454545456</v>
      </c>
      <c r="G17" s="2">
        <f t="shared" si="0"/>
        <v>177.81818181818181</v>
      </c>
      <c r="H17" s="2">
        <f t="shared" si="0"/>
        <v>175.96590909090909</v>
      </c>
      <c r="I17" s="2">
        <f t="shared" si="0"/>
        <v>174.11363636363637</v>
      </c>
      <c r="J17" s="2">
        <f t="shared" si="0"/>
        <v>172.26136363636363</v>
      </c>
      <c r="K17" s="2">
        <f t="shared" si="0"/>
        <v>170.40909090909091</v>
      </c>
      <c r="L17" s="2">
        <f t="shared" si="0"/>
        <v>168.55681818181819</v>
      </c>
      <c r="M17" s="2">
        <f t="shared" si="0"/>
        <v>166.70454545454547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1" zoomScale="120" zoomScaleNormal="120" workbookViewId="0">
      <selection activeCell="G28" sqref="G28"/>
    </sheetView>
  </sheetViews>
  <sheetFormatPr defaultRowHeight="15" x14ac:dyDescent="0.25"/>
  <cols>
    <col min="2" max="2" width="30.28515625" customWidth="1"/>
    <col min="3" max="3" width="10.140625" customWidth="1"/>
    <col min="4" max="4" width="22" customWidth="1"/>
    <col min="7" max="7" width="8.7109375" customWidth="1"/>
    <col min="8" max="10" width="10.140625" customWidth="1"/>
    <col min="11" max="11" width="8.85546875" customWidth="1"/>
    <col min="12" max="12" width="11.85546875" customWidth="1"/>
    <col min="13" max="13" width="13.85546875" customWidth="1"/>
    <col min="14" max="15" width="10.140625" customWidth="1"/>
  </cols>
  <sheetData>
    <row r="1" spans="1:14" s="15" customFormat="1" ht="21" x14ac:dyDescent="0.35">
      <c r="A1" s="15" t="s">
        <v>40</v>
      </c>
    </row>
    <row r="2" spans="1:14" s="18" customFormat="1" ht="21" x14ac:dyDescent="0.35"/>
    <row r="3" spans="1:14" s="18" customFormat="1" ht="21" x14ac:dyDescent="0.35">
      <c r="B3" s="19" t="s">
        <v>0</v>
      </c>
      <c r="G3" s="20" t="s">
        <v>47</v>
      </c>
    </row>
    <row r="4" spans="1:14" ht="60" x14ac:dyDescent="0.25">
      <c r="B4" t="s">
        <v>152</v>
      </c>
      <c r="C4" s="5">
        <v>0.3</v>
      </c>
      <c r="D4" t="s">
        <v>24</v>
      </c>
      <c r="G4" s="1" t="s">
        <v>153</v>
      </c>
      <c r="H4" s="1" t="s">
        <v>28</v>
      </c>
      <c r="I4" s="1" t="s">
        <v>29</v>
      </c>
      <c r="J4" s="1" t="s">
        <v>23</v>
      </c>
      <c r="K4" s="1" t="s">
        <v>57</v>
      </c>
      <c r="L4" s="1" t="s">
        <v>56</v>
      </c>
      <c r="M4" s="1" t="s">
        <v>55</v>
      </c>
      <c r="N4" s="1" t="s">
        <v>157</v>
      </c>
    </row>
    <row r="5" spans="1:14" x14ac:dyDescent="0.25">
      <c r="B5" t="s">
        <v>21</v>
      </c>
      <c r="C5" s="5">
        <v>4</v>
      </c>
      <c r="D5" t="s">
        <v>24</v>
      </c>
      <c r="G5" t="s">
        <v>30</v>
      </c>
      <c r="H5">
        <v>20</v>
      </c>
      <c r="I5" s="3">
        <v>0.8</v>
      </c>
      <c r="J5" s="45">
        <v>0.3</v>
      </c>
      <c r="K5" s="2">
        <f>(H6-H5)/J5</f>
        <v>16.666666666666668</v>
      </c>
      <c r="L5" s="8">
        <f>K5*I5</f>
        <v>13.333333333333336</v>
      </c>
      <c r="M5" s="2">
        <f>IF($C$6&lt;H5,0,IF($C$6&lt;=H6,($C$6-H5)/J5,(H6-H5)/J5))</f>
        <v>16.666666666666668</v>
      </c>
      <c r="N5" s="2">
        <f>IF(M5=0,0,M5*I5)</f>
        <v>13.333333333333336</v>
      </c>
    </row>
    <row r="6" spans="1:14" x14ac:dyDescent="0.25">
      <c r="B6" t="s">
        <v>22</v>
      </c>
      <c r="C6" s="5">
        <v>44</v>
      </c>
      <c r="D6" t="s">
        <v>24</v>
      </c>
      <c r="G6" t="s">
        <v>34</v>
      </c>
      <c r="H6">
        <v>25</v>
      </c>
      <c r="I6" s="3">
        <v>0.95</v>
      </c>
      <c r="J6" s="45">
        <v>0.27500000000000002</v>
      </c>
      <c r="K6" s="2">
        <f t="shared" ref="K6:K8" si="0">(H7-H6)/J6</f>
        <v>18.18181818181818</v>
      </c>
      <c r="L6" s="8">
        <f t="shared" ref="L6:L9" si="1">K6*I6</f>
        <v>17.27272727272727</v>
      </c>
      <c r="M6" s="2">
        <f>IF($C$6&lt;H6,0,IF($C$6&lt;=H7,($C$6-H6)/J6,(H7-H6)/J6))</f>
        <v>18.18181818181818</v>
      </c>
      <c r="N6" s="2">
        <f>IF(M6=0,0,M6*I6)</f>
        <v>17.27272727272727</v>
      </c>
    </row>
    <row r="7" spans="1:14" x14ac:dyDescent="0.25">
      <c r="B7" t="s">
        <v>48</v>
      </c>
      <c r="C7" s="6">
        <f>(20-C5)/J5</f>
        <v>53.333333333333336</v>
      </c>
      <c r="D7" t="s">
        <v>38</v>
      </c>
      <c r="G7" t="s">
        <v>35</v>
      </c>
      <c r="H7">
        <v>30</v>
      </c>
      <c r="I7" s="3">
        <v>1.3</v>
      </c>
      <c r="J7" s="45">
        <v>0.25</v>
      </c>
      <c r="K7" s="2">
        <f t="shared" si="0"/>
        <v>40</v>
      </c>
      <c r="L7" s="8">
        <f t="shared" si="1"/>
        <v>52</v>
      </c>
      <c r="M7" s="2">
        <f>IF($C$6&lt;H7,0,IF($C$6&lt;=H8,($C$6-H7)/J7,(H8-H7)/J7))</f>
        <v>40</v>
      </c>
      <c r="N7" s="2">
        <f>IF(M7=0,0,M7*I7)</f>
        <v>52</v>
      </c>
    </row>
    <row r="8" spans="1:14" x14ac:dyDescent="0.25">
      <c r="G8" t="s">
        <v>31</v>
      </c>
      <c r="H8">
        <v>40</v>
      </c>
      <c r="I8" s="3">
        <v>1.6</v>
      </c>
      <c r="J8" s="45">
        <v>0.2</v>
      </c>
      <c r="K8" s="2">
        <f t="shared" si="0"/>
        <v>50</v>
      </c>
      <c r="L8" s="8">
        <f t="shared" si="1"/>
        <v>80</v>
      </c>
      <c r="M8" s="2">
        <f>IF($C$6&lt;H8,0,IF($C$6&lt;=H9,($C$6-H8)/J8,(H9-H8)/J8))</f>
        <v>20</v>
      </c>
      <c r="N8" s="2">
        <f>IF(M8=0,0,M8*I8)</f>
        <v>32</v>
      </c>
    </row>
    <row r="9" spans="1:14" x14ac:dyDescent="0.25">
      <c r="B9" s="22" t="s">
        <v>64</v>
      </c>
      <c r="G9" t="s">
        <v>32</v>
      </c>
      <c r="H9">
        <v>50</v>
      </c>
      <c r="I9" s="3">
        <v>1.8</v>
      </c>
      <c r="J9" s="45">
        <v>0.15</v>
      </c>
      <c r="K9" s="2">
        <f>(H10-H9)/J9</f>
        <v>66.666666666666671</v>
      </c>
      <c r="L9" s="8">
        <f t="shared" si="1"/>
        <v>120.00000000000001</v>
      </c>
      <c r="M9" s="2">
        <f>IF($C$6&lt;H9,0,IF($C$6&lt;=H10,($C$6-H9)/J9,(H10-H9)/J9))</f>
        <v>0</v>
      </c>
      <c r="N9" s="2">
        <f>IF(M9=0,0,M9*I9)</f>
        <v>0</v>
      </c>
    </row>
    <row r="10" spans="1:14" x14ac:dyDescent="0.25">
      <c r="B10" t="s">
        <v>50</v>
      </c>
      <c r="C10" s="9">
        <v>0.2</v>
      </c>
      <c r="H10">
        <v>60</v>
      </c>
      <c r="I10" s="3"/>
      <c r="J10" s="45"/>
    </row>
    <row r="11" spans="1:14" x14ac:dyDescent="0.25">
      <c r="B11" t="s">
        <v>51</v>
      </c>
      <c r="C11" s="9">
        <v>0.25</v>
      </c>
      <c r="G11" t="s">
        <v>36</v>
      </c>
      <c r="K11" s="2"/>
      <c r="L11" s="8"/>
      <c r="M11" s="21">
        <f>SUM(M5:M9)</f>
        <v>94.848484848484844</v>
      </c>
      <c r="N11" s="21">
        <f>SUM(N5:N9)</f>
        <v>114.60606060606061</v>
      </c>
    </row>
    <row r="12" spans="1:14" x14ac:dyDescent="0.25">
      <c r="B12" t="s">
        <v>52</v>
      </c>
      <c r="C12" s="9">
        <v>0.3</v>
      </c>
    </row>
    <row r="13" spans="1:14" x14ac:dyDescent="0.25">
      <c r="B13" t="s">
        <v>53</v>
      </c>
      <c r="C13" s="9">
        <v>0.3</v>
      </c>
      <c r="F13" s="2"/>
    </row>
    <row r="14" spans="1:14" x14ac:dyDescent="0.25">
      <c r="B14" t="s">
        <v>54</v>
      </c>
      <c r="C14" s="9">
        <v>0.3</v>
      </c>
    </row>
    <row r="15" spans="1:14" x14ac:dyDescent="0.25">
      <c r="C15" s="2"/>
      <c r="G15" s="7" t="s">
        <v>49</v>
      </c>
    </row>
    <row r="16" spans="1:14" ht="60" x14ac:dyDescent="0.25">
      <c r="G16" s="1" t="s">
        <v>153</v>
      </c>
      <c r="H16" s="1" t="s">
        <v>155</v>
      </c>
      <c r="I16" s="1" t="s">
        <v>154</v>
      </c>
      <c r="J16" s="1" t="s">
        <v>156</v>
      </c>
      <c r="K16" s="1" t="s">
        <v>57</v>
      </c>
      <c r="L16" s="1" t="s">
        <v>58</v>
      </c>
      <c r="M16" s="1" t="s">
        <v>59</v>
      </c>
    </row>
    <row r="17" spans="2:13" x14ac:dyDescent="0.25">
      <c r="B17" s="12" t="s">
        <v>46</v>
      </c>
      <c r="C17" s="4"/>
      <c r="D17" s="4"/>
      <c r="G17" t="s">
        <v>30</v>
      </c>
      <c r="H17">
        <v>20</v>
      </c>
      <c r="I17" s="3">
        <f>I5-C10</f>
        <v>0.60000000000000009</v>
      </c>
      <c r="J17">
        <f>J5</f>
        <v>0.3</v>
      </c>
      <c r="K17" s="2">
        <f>IF($C$6&lt;H17,0,IF($C$6&lt;=H18,($C$6-H17)/J17,(H18-H17)/J17))</f>
        <v>16.666666666666668</v>
      </c>
      <c r="L17" s="2">
        <f>IF(K17=0,0,K17*I17)</f>
        <v>10.000000000000002</v>
      </c>
      <c r="M17" s="8">
        <f>IF(K17=0,0,C10*K17)</f>
        <v>3.3333333333333339</v>
      </c>
    </row>
    <row r="18" spans="2:13" x14ac:dyDescent="0.25">
      <c r="B18" s="4" t="s">
        <v>39</v>
      </c>
      <c r="C18" s="23">
        <f>SUM(M5:M9)</f>
        <v>94.848484848484844</v>
      </c>
      <c r="D18" s="4" t="s">
        <v>38</v>
      </c>
      <c r="G18" t="s">
        <v>34</v>
      </c>
      <c r="H18">
        <v>25</v>
      </c>
      <c r="I18" s="3">
        <f>I6-C11</f>
        <v>0.7</v>
      </c>
      <c r="J18">
        <f t="shared" ref="J18:J21" si="2">J6</f>
        <v>0.27500000000000002</v>
      </c>
      <c r="K18" s="2">
        <f>IF($C$6&lt;H18,0,IF($C$6&lt;=H19,($C$6-H18)/J18,(H19-H18)/J18))</f>
        <v>18.18181818181818</v>
      </c>
      <c r="L18" s="2">
        <f>IF(K18=0,0,K18*I18)</f>
        <v>12.727272727272725</v>
      </c>
      <c r="M18" s="8">
        <f t="shared" ref="M18:M21" si="3">IF(K18=0,0,C11*K18)</f>
        <v>4.545454545454545</v>
      </c>
    </row>
    <row r="19" spans="2:13" x14ac:dyDescent="0.25">
      <c r="B19" s="4" t="s">
        <v>37</v>
      </c>
      <c r="C19" s="23">
        <f>SUM(N5:N9)</f>
        <v>114.60606060606061</v>
      </c>
      <c r="D19" s="4" t="s">
        <v>45</v>
      </c>
      <c r="G19" t="s">
        <v>35</v>
      </c>
      <c r="H19">
        <v>30</v>
      </c>
      <c r="I19" s="3">
        <f>I7-C12</f>
        <v>1</v>
      </c>
      <c r="J19">
        <f t="shared" si="2"/>
        <v>0.25</v>
      </c>
      <c r="K19" s="2">
        <f>IF($C$6&lt;H19,0,IF($C$6&lt;=H20,($C$6-H19)/J19,(H20-H19)/J19))</f>
        <v>40</v>
      </c>
      <c r="L19" s="2">
        <f>IF(K19=0,0,K19*I19)</f>
        <v>40</v>
      </c>
      <c r="M19" s="8">
        <f t="shared" si="3"/>
        <v>12</v>
      </c>
    </row>
    <row r="20" spans="2:13" x14ac:dyDescent="0.25">
      <c r="B20" s="4" t="s">
        <v>41</v>
      </c>
      <c r="C20" s="23">
        <f>C18+C7</f>
        <v>148.18181818181819</v>
      </c>
      <c r="D20" s="4" t="s">
        <v>38</v>
      </c>
      <c r="G20" t="s">
        <v>31</v>
      </c>
      <c r="H20">
        <v>40</v>
      </c>
      <c r="I20" s="3">
        <f>I8-C13</f>
        <v>1.3</v>
      </c>
      <c r="J20">
        <f t="shared" si="2"/>
        <v>0.2</v>
      </c>
      <c r="K20" s="2">
        <f>IF($C$6&lt;H20,0,IF($C$6&lt;=H21,($C$6-H20)/J20,(H21-H20)/J20))</f>
        <v>20</v>
      </c>
      <c r="L20" s="2">
        <f>IF(K20=0,0,K20*I20)</f>
        <v>26</v>
      </c>
      <c r="M20" s="8">
        <f t="shared" si="3"/>
        <v>6</v>
      </c>
    </row>
    <row r="21" spans="2:13" x14ac:dyDescent="0.25">
      <c r="B21" s="4" t="s">
        <v>60</v>
      </c>
      <c r="C21" s="23">
        <f>L23</f>
        <v>88.72727272727272</v>
      </c>
      <c r="D21" s="4" t="s">
        <v>63</v>
      </c>
      <c r="G21" t="s">
        <v>32</v>
      </c>
      <c r="H21">
        <v>50</v>
      </c>
      <c r="I21" s="3">
        <f>I9-C14</f>
        <v>1.5</v>
      </c>
      <c r="J21">
        <f t="shared" si="2"/>
        <v>0.15</v>
      </c>
      <c r="K21" s="2">
        <f>IF($C$6&lt;H21,0,IF($C$6&lt;=H22,($C$6-H21)/J21,(H22-H21)/J21))</f>
        <v>0</v>
      </c>
      <c r="L21" s="2">
        <f>IF(K21=0,0,K21*I21)</f>
        <v>0</v>
      </c>
      <c r="M21" s="8">
        <f t="shared" si="3"/>
        <v>0</v>
      </c>
    </row>
    <row r="22" spans="2:13" x14ac:dyDescent="0.25">
      <c r="B22" s="4" t="s">
        <v>61</v>
      </c>
      <c r="C22" s="23">
        <f>M23</f>
        <v>25.878787878787879</v>
      </c>
      <c r="D22" s="4" t="s">
        <v>62</v>
      </c>
      <c r="H22">
        <v>60</v>
      </c>
      <c r="I22" s="3"/>
    </row>
    <row r="23" spans="2:13" x14ac:dyDescent="0.25">
      <c r="B23" s="4" t="s">
        <v>102</v>
      </c>
      <c r="C23" s="23"/>
      <c r="D23" s="4"/>
      <c r="G23" t="s">
        <v>36</v>
      </c>
      <c r="K23" s="2"/>
      <c r="L23" s="2">
        <f>SUM(L17:L21)</f>
        <v>88.72727272727272</v>
      </c>
      <c r="M23" s="2">
        <f>SUM(M17:M21)</f>
        <v>25.878787878787879</v>
      </c>
    </row>
    <row r="24" spans="2:13" x14ac:dyDescent="0.25">
      <c r="B24" s="4" t="s">
        <v>103</v>
      </c>
      <c r="C24" s="23">
        <f>('Foktechnische kengetallen'!H10*(1-'Foktechnische kengetallen'!B11/2)+'Foktechnische kengetallen'!I10*(1-'Foktechnische kengetallen'!C11/2))</f>
        <v>171.18562500000002</v>
      </c>
      <c r="D24" s="4" t="s">
        <v>78</v>
      </c>
    </row>
    <row r="25" spans="2:13" x14ac:dyDescent="0.25">
      <c r="B25" s="4" t="s">
        <v>104</v>
      </c>
      <c r="C25" s="24">
        <f>C24*C21</f>
        <v>15188.833636363637</v>
      </c>
      <c r="D25" s="4" t="s">
        <v>106</v>
      </c>
    </row>
    <row r="26" spans="2:13" x14ac:dyDescent="0.25">
      <c r="B26" s="4" t="s">
        <v>105</v>
      </c>
      <c r="C26" s="27">
        <f>C22*C24</f>
        <v>4430.076477272728</v>
      </c>
      <c r="D26" s="4" t="s">
        <v>107</v>
      </c>
      <c r="G26" s="7" t="s">
        <v>206</v>
      </c>
      <c r="H26" s="7"/>
      <c r="I26" s="7"/>
      <c r="J26" s="7"/>
    </row>
    <row r="27" spans="2:13" x14ac:dyDescent="0.25">
      <c r="C27" s="2"/>
      <c r="G27" s="4">
        <v>5</v>
      </c>
      <c r="H27" t="s">
        <v>207</v>
      </c>
      <c r="L27" t="s">
        <v>208</v>
      </c>
    </row>
    <row r="28" spans="2:13" x14ac:dyDescent="0.25">
      <c r="B28" s="4" t="s">
        <v>211</v>
      </c>
      <c r="C28" s="3">
        <f>C24*(G27/100)*G28*I28*0.2</f>
        <v>95.863950000000031</v>
      </c>
      <c r="D28" s="4" t="s">
        <v>212</v>
      </c>
      <c r="G28" s="4">
        <v>56</v>
      </c>
      <c r="H28" t="s">
        <v>209</v>
      </c>
      <c r="I28" s="4">
        <v>1</v>
      </c>
      <c r="J28" t="s">
        <v>210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E15" sqref="E15"/>
    </sheetView>
  </sheetViews>
  <sheetFormatPr defaultRowHeight="15" x14ac:dyDescent="0.25"/>
  <cols>
    <col min="2" max="2" width="37.28515625" customWidth="1"/>
    <col min="3" max="3" width="17.140625" customWidth="1"/>
    <col min="4" max="4" width="10.7109375" bestFit="1" customWidth="1"/>
    <col min="5" max="9" width="13.140625" customWidth="1"/>
    <col min="10" max="10" width="17.5703125" customWidth="1"/>
    <col min="11" max="12" width="14.5703125" customWidth="1"/>
    <col min="13" max="13" width="12.42578125" customWidth="1"/>
    <col min="14" max="14" width="15.28515625" customWidth="1"/>
  </cols>
  <sheetData>
    <row r="1" spans="1:15" s="15" customFormat="1" ht="21" x14ac:dyDescent="0.35">
      <c r="A1" s="15" t="s">
        <v>65</v>
      </c>
    </row>
    <row r="4" spans="1:15" x14ac:dyDescent="0.25">
      <c r="B4" t="s">
        <v>100</v>
      </c>
    </row>
    <row r="5" spans="1:15" ht="21" x14ac:dyDescent="0.35">
      <c r="B5" t="s">
        <v>75</v>
      </c>
      <c r="C5">
        <v>70</v>
      </c>
      <c r="D5" t="s">
        <v>24</v>
      </c>
      <c r="H5" s="20"/>
      <c r="I5" s="18"/>
      <c r="J5" s="18"/>
      <c r="K5" s="18"/>
      <c r="L5" s="18"/>
      <c r="M5" s="18"/>
      <c r="N5" s="18"/>
      <c r="O5" s="18"/>
    </row>
    <row r="6" spans="1:15" x14ac:dyDescent="0.25">
      <c r="B6" t="s">
        <v>76</v>
      </c>
      <c r="C6">
        <v>80</v>
      </c>
      <c r="D6" t="s">
        <v>24</v>
      </c>
      <c r="I6" s="1"/>
      <c r="N6" s="1"/>
      <c r="O6" s="1"/>
    </row>
    <row r="7" spans="1:15" x14ac:dyDescent="0.25">
      <c r="C7" s="3"/>
      <c r="J7" s="3"/>
      <c r="N7" s="2"/>
      <c r="O7" s="8"/>
    </row>
    <row r="8" spans="1:15" x14ac:dyDescent="0.25">
      <c r="J8" s="3"/>
      <c r="N8" s="2"/>
      <c r="O8" s="8"/>
    </row>
    <row r="9" spans="1:15" x14ac:dyDescent="0.25">
      <c r="J9" s="3"/>
      <c r="N9" s="2"/>
      <c r="O9" s="8"/>
    </row>
    <row r="10" spans="1:15" x14ac:dyDescent="0.25">
      <c r="J10" s="3"/>
      <c r="N10" s="2"/>
      <c r="O10" s="8"/>
    </row>
    <row r="11" spans="1:15" x14ac:dyDescent="0.25">
      <c r="J11" s="3"/>
      <c r="N11" s="2"/>
      <c r="O11" s="8"/>
    </row>
    <row r="12" spans="1:15" ht="45" x14ac:dyDescent="0.25">
      <c r="B12" s="7" t="s">
        <v>70</v>
      </c>
      <c r="C12" s="25" t="s">
        <v>72</v>
      </c>
      <c r="E12" s="1" t="s">
        <v>94</v>
      </c>
      <c r="F12" s="1" t="s">
        <v>95</v>
      </c>
      <c r="G12" s="1" t="s">
        <v>92</v>
      </c>
      <c r="H12" s="1" t="s">
        <v>93</v>
      </c>
      <c r="I12" s="1"/>
      <c r="J12" s="1" t="s">
        <v>96</v>
      </c>
      <c r="K12" s="1" t="s">
        <v>97</v>
      </c>
      <c r="L12" s="1" t="s">
        <v>98</v>
      </c>
    </row>
    <row r="13" spans="1:15" x14ac:dyDescent="0.25">
      <c r="B13" t="s">
        <v>73</v>
      </c>
      <c r="C13" s="5">
        <v>85</v>
      </c>
      <c r="D13" t="s">
        <v>38</v>
      </c>
      <c r="E13" s="5">
        <v>1.4</v>
      </c>
      <c r="F13" s="5"/>
      <c r="G13">
        <v>60</v>
      </c>
      <c r="H13">
        <f>C13-G13</f>
        <v>25</v>
      </c>
      <c r="J13">
        <f>('Foktechnische kengetallen'!B8*'Foktechnische kengetallen'!H6+'Foktechnische kengetallen'!C8*'Foktechnische kengetallen'!I6)*'voeder ooien'!E13*'voeder ooien'!G13</f>
        <v>7811.9999999999991</v>
      </c>
      <c r="K13">
        <f>('Foktechnische kengetallen'!B8*'Foktechnische kengetallen'!H6+'Foktechnische kengetallen'!C8*'Foktechnische kengetallen'!I6)*'voeder ooien'!E13*'voeder ooien'!H13</f>
        <v>3254.9999999999995</v>
      </c>
      <c r="L13">
        <f>('Foktechnische kengetallen'!B8*'Foktechnische kengetallen'!H6+'Foktechnische kengetallen'!C8*'Foktechnische kengetallen'!I6)*'voeder ooien'!F13*'voeder ooien'!C13</f>
        <v>0</v>
      </c>
      <c r="N13" s="2"/>
      <c r="O13" s="8"/>
    </row>
    <row r="14" spans="1:15" x14ac:dyDescent="0.25">
      <c r="B14" t="s">
        <v>74</v>
      </c>
      <c r="C14" s="5">
        <v>60</v>
      </c>
      <c r="D14" t="s">
        <v>38</v>
      </c>
      <c r="E14" s="5">
        <v>1.4</v>
      </c>
      <c r="F14" s="5">
        <v>0.2</v>
      </c>
      <c r="H14">
        <f>C14</f>
        <v>60</v>
      </c>
      <c r="J14">
        <f>('Foktechnische kengetallen'!B8*'Foktechnische kengetallen'!H6+'Foktechnische kengetallen'!C8*'Foktechnische kengetallen'!I6)*'voeder ooien'!E14*'voeder ooien'!G14</f>
        <v>0</v>
      </c>
      <c r="K14">
        <f>('Foktechnische kengetallen'!B8*'Foktechnische kengetallen'!H6+'Foktechnische kengetallen'!C8*'Foktechnische kengetallen'!I6)*'voeder ooien'!E14*'voeder ooien'!H14</f>
        <v>7811.9999999999991</v>
      </c>
      <c r="L14">
        <f>('Foktechnische kengetallen'!B8*'Foktechnische kengetallen'!H6+'Foktechnische kengetallen'!C8*'Foktechnische kengetallen'!I6)*'voeder ooien'!F14*'voeder ooien'!C14</f>
        <v>1116</v>
      </c>
    </row>
    <row r="15" spans="1:15" x14ac:dyDescent="0.25">
      <c r="B15" t="s">
        <v>89</v>
      </c>
      <c r="C15" s="5">
        <v>30</v>
      </c>
      <c r="D15" t="s">
        <v>38</v>
      </c>
      <c r="E15" s="5">
        <v>2</v>
      </c>
      <c r="F15" s="5">
        <v>0.9</v>
      </c>
      <c r="H15">
        <f>C15</f>
        <v>30</v>
      </c>
      <c r="J15">
        <f>('Foktechnische kengetallen'!B8*'Foktechnische kengetallen'!H6+'Foktechnische kengetallen'!C8*'Foktechnische kengetallen'!I6)*'voeder ooien'!E15*'voeder ooien'!G15</f>
        <v>0</v>
      </c>
      <c r="K15">
        <f>('Foktechnische kengetallen'!B8*'Foktechnische kengetallen'!H6+'Foktechnische kengetallen'!C8*'Foktechnische kengetallen'!I6)*'voeder ooien'!E15*'voeder ooien'!H15</f>
        <v>5580</v>
      </c>
      <c r="L15">
        <f>('Foktechnische kengetallen'!B8*'Foktechnische kengetallen'!H6+'Foktechnische kengetallen'!C8*'Foktechnische kengetallen'!I6)*'voeder ooien'!C15*'voeder ooien'!F15</f>
        <v>2511</v>
      </c>
    </row>
    <row r="16" spans="1:15" x14ac:dyDescent="0.25">
      <c r="B16" t="s">
        <v>90</v>
      </c>
      <c r="C16" s="5">
        <v>30</v>
      </c>
      <c r="D16" t="s">
        <v>38</v>
      </c>
      <c r="E16" s="5">
        <v>2.65</v>
      </c>
      <c r="F16" s="5"/>
      <c r="G16">
        <f>C16</f>
        <v>30</v>
      </c>
      <c r="J16">
        <f>('Foktechnische kengetallen'!B8*'Foktechnische kengetallen'!H6+'Foktechnische kengetallen'!C8*'Foktechnische kengetallen'!I6)*'voeder ooien'!E16*'voeder ooien'!G16</f>
        <v>7393.5</v>
      </c>
      <c r="K16">
        <f>('Foktechnische kengetallen'!B8*'Foktechnische kengetallen'!H6+'Foktechnische kengetallen'!C8*'Foktechnische kengetallen'!I6)*'voeder ooien'!E16*'voeder ooien'!H16</f>
        <v>0</v>
      </c>
      <c r="L16">
        <f>('Foktechnische kengetallen'!B8*'Foktechnische kengetallen'!H6+'Foktechnische kengetallen'!C8*'Foktechnische kengetallen'!I6)*'voeder ooien'!C16*'voeder ooien'!F16</f>
        <v>0</v>
      </c>
    </row>
    <row r="17" spans="2:12" x14ac:dyDescent="0.25">
      <c r="B17" t="s">
        <v>91</v>
      </c>
      <c r="C17" s="5">
        <v>40</v>
      </c>
      <c r="D17" t="s">
        <v>38</v>
      </c>
      <c r="E17" s="5">
        <v>2.2000000000000002</v>
      </c>
      <c r="F17" s="5"/>
      <c r="G17">
        <f>C17</f>
        <v>40</v>
      </c>
      <c r="J17">
        <f>('Foktechnische kengetallen'!B8*'Foktechnische kengetallen'!H6+'Foktechnische kengetallen'!C8*'Foktechnische kengetallen'!I6)*'voeder ooien'!E17*'voeder ooien'!G17</f>
        <v>8184.0000000000009</v>
      </c>
      <c r="K17">
        <f>('Foktechnische kengetallen'!B8*'Foktechnische kengetallen'!H6+'Foktechnische kengetallen'!C8*'Foktechnische kengetallen'!I6)*'voeder ooien'!E17*'voeder ooien'!H17</f>
        <v>0</v>
      </c>
      <c r="L17">
        <f>('Foktechnische kengetallen'!B8*'Foktechnische kengetallen'!H6+'Foktechnische kengetallen'!C8*'Foktechnische kengetallen'!I6)*'voeder ooien'!C17*'voeder ooien'!F17</f>
        <v>0</v>
      </c>
    </row>
    <row r="18" spans="2:12" x14ac:dyDescent="0.25">
      <c r="B18" t="s">
        <v>71</v>
      </c>
      <c r="C18" s="5">
        <v>120</v>
      </c>
      <c r="D18" t="s">
        <v>38</v>
      </c>
      <c r="E18" s="5">
        <v>1.4</v>
      </c>
      <c r="F18" s="5"/>
      <c r="G18">
        <f>C18</f>
        <v>120</v>
      </c>
      <c r="J18">
        <f>('Foktechnische kengetallen'!B8*'Foktechnische kengetallen'!H6+'Foktechnische kengetallen'!C8*'Foktechnische kengetallen'!I6)*'voeder ooien'!E18*'voeder ooien'!G18</f>
        <v>15623.999999999998</v>
      </c>
      <c r="K18">
        <f>('Foktechnische kengetallen'!B8*'Foktechnische kengetallen'!H6+'Foktechnische kengetallen'!C8*'Foktechnische kengetallen'!I6)*'voeder ooien'!E18*'voeder ooien'!H18</f>
        <v>0</v>
      </c>
      <c r="L18">
        <f>('Foktechnische kengetallen'!B8*'Foktechnische kengetallen'!H6+'Foktechnische kengetallen'!C8*'Foktechnische kengetallen'!I6)*'voeder ooien'!F18*'voeder ooien'!C18</f>
        <v>0</v>
      </c>
    </row>
    <row r="19" spans="2:12" x14ac:dyDescent="0.25">
      <c r="B19" t="s">
        <v>99</v>
      </c>
      <c r="C19" s="5">
        <v>365</v>
      </c>
      <c r="D19" t="s">
        <v>38</v>
      </c>
      <c r="E19" s="5">
        <v>1.4</v>
      </c>
      <c r="F19" s="5"/>
      <c r="G19">
        <f>SUM(G13:G18)</f>
        <v>250</v>
      </c>
      <c r="H19">
        <f>SUM(H13:H18)</f>
        <v>115</v>
      </c>
      <c r="J19">
        <f>((1-'Foktechnische kengetallen'!B8)*'Foktechnische kengetallen'!H6+(1-'Foktechnische kengetallen'!C8)*'Foktechnische kengetallen'!I6)*'voeder ooien'!E19*'voeder ooien'!G19</f>
        <v>2450.0000000000009</v>
      </c>
      <c r="K19">
        <f>((1-'Foktechnische kengetallen'!B8)*'Foktechnische kengetallen'!H6+(1-'Foktechnische kengetallen'!C8)*'Foktechnische kengetallen'!I6)*'voeder ooien'!E19*'voeder ooien'!H19</f>
        <v>1127.0000000000005</v>
      </c>
      <c r="L19">
        <f>((1-'Foktechnische kengetallen'!B8)*'Foktechnische kengetallen'!H6+(1-'Foktechnische kengetallen'!C8)*'Foktechnische kengetallen'!I6)*'voeder ooien'!F19*'voeder ooien'!C19</f>
        <v>0</v>
      </c>
    </row>
    <row r="22" spans="2:12" x14ac:dyDescent="0.25">
      <c r="C22" t="s">
        <v>158</v>
      </c>
      <c r="D22" t="s">
        <v>159</v>
      </c>
      <c r="I22" s="7" t="s">
        <v>110</v>
      </c>
      <c r="J22" s="7">
        <f>SUM(J13:J19)</f>
        <v>41463.5</v>
      </c>
      <c r="K22" s="7">
        <f>SUM(K13:K19)</f>
        <v>17774</v>
      </c>
      <c r="L22" s="7">
        <f>SUM(L13:L19)</f>
        <v>3627</v>
      </c>
    </row>
    <row r="23" spans="2:12" x14ac:dyDescent="0.25">
      <c r="B23" t="s">
        <v>160</v>
      </c>
      <c r="C23" s="40">
        <v>42826</v>
      </c>
      <c r="D23" s="40">
        <v>43075</v>
      </c>
      <c r="E23" s="2"/>
    </row>
    <row r="24" spans="2:12" x14ac:dyDescent="0.25">
      <c r="B24" t="s">
        <v>161</v>
      </c>
      <c r="C24" s="40">
        <v>43076</v>
      </c>
      <c r="D24" s="40">
        <v>43190</v>
      </c>
      <c r="E24" s="2"/>
    </row>
    <row r="25" spans="2:12" x14ac:dyDescent="0.25">
      <c r="B25" t="s">
        <v>162</v>
      </c>
      <c r="C25" s="40"/>
      <c r="D25" s="41"/>
      <c r="E25" s="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4" workbookViewId="0">
      <selection activeCell="C24" sqref="C24"/>
    </sheetView>
  </sheetViews>
  <sheetFormatPr defaultRowHeight="15" x14ac:dyDescent="0.25"/>
  <cols>
    <col min="2" max="2" width="25.28515625" customWidth="1"/>
    <col min="3" max="12" width="12.85546875" customWidth="1"/>
  </cols>
  <sheetData>
    <row r="1" spans="1:12" s="15" customFormat="1" ht="21" x14ac:dyDescent="0.35">
      <c r="A1" s="15" t="s">
        <v>66</v>
      </c>
    </row>
    <row r="3" spans="1:12" ht="21" x14ac:dyDescent="0.35">
      <c r="B3" s="19" t="s">
        <v>0</v>
      </c>
      <c r="C3" s="18"/>
      <c r="D3" s="18"/>
      <c r="E3" s="18"/>
      <c r="F3" s="18"/>
      <c r="G3" s="20" t="s">
        <v>47</v>
      </c>
      <c r="H3" s="18"/>
      <c r="I3" s="18"/>
    </row>
    <row r="6" spans="1:12" x14ac:dyDescent="0.25">
      <c r="B6" t="s">
        <v>100</v>
      </c>
    </row>
    <row r="7" spans="1:12" ht="21" x14ac:dyDescent="0.35">
      <c r="B7" t="s">
        <v>77</v>
      </c>
      <c r="C7">
        <v>90</v>
      </c>
      <c r="D7" t="s">
        <v>24</v>
      </c>
      <c r="H7" s="20"/>
      <c r="I7" s="18"/>
      <c r="J7" s="18"/>
      <c r="K7" s="18"/>
      <c r="L7" s="18"/>
    </row>
    <row r="8" spans="1:12" x14ac:dyDescent="0.25">
      <c r="C8" s="3"/>
      <c r="J8" s="3"/>
    </row>
    <row r="9" spans="1:12" x14ac:dyDescent="0.25">
      <c r="J9" s="3"/>
    </row>
    <row r="10" spans="1:12" x14ac:dyDescent="0.25">
      <c r="J10" s="3"/>
    </row>
    <row r="11" spans="1:12" x14ac:dyDescent="0.25">
      <c r="J11" s="3"/>
    </row>
    <row r="12" spans="1:12" x14ac:dyDescent="0.25">
      <c r="J12" s="3"/>
    </row>
    <row r="13" spans="1:12" ht="45" x14ac:dyDescent="0.25">
      <c r="B13" s="7" t="s">
        <v>70</v>
      </c>
      <c r="C13" s="1" t="s">
        <v>94</v>
      </c>
      <c r="D13" s="1" t="s">
        <v>95</v>
      </c>
      <c r="E13" s="1" t="s">
        <v>92</v>
      </c>
      <c r="F13" s="1" t="s">
        <v>93</v>
      </c>
      <c r="G13" s="1"/>
      <c r="H13" s="1" t="s">
        <v>96</v>
      </c>
      <c r="I13" s="1" t="s">
        <v>97</v>
      </c>
      <c r="J13" s="1" t="s">
        <v>98</v>
      </c>
    </row>
    <row r="14" spans="1:12" x14ac:dyDescent="0.25">
      <c r="B14" t="s">
        <v>111</v>
      </c>
      <c r="C14" s="5">
        <v>1.8</v>
      </c>
      <c r="D14" s="5"/>
      <c r="E14">
        <v>250</v>
      </c>
      <c r="F14">
        <v>115</v>
      </c>
      <c r="H14">
        <f>'Foktechnische kengetallen'!J14*'voeder rammen'!E14*'voeder rammen'!C14</f>
        <v>1350</v>
      </c>
      <c r="I14">
        <f>'Foktechnische kengetallen'!J14*'voeder rammen'!F14*'voeder rammen'!C14</f>
        <v>621</v>
      </c>
      <c r="J14">
        <f>'Foktechnische kengetallen'!J14*'voeder rammen'!D14*(E14+F14)</f>
        <v>0</v>
      </c>
    </row>
    <row r="17" spans="2:10" x14ac:dyDescent="0.25">
      <c r="G17" s="7" t="s">
        <v>110</v>
      </c>
      <c r="H17" s="7">
        <f>SUM(H14:H14)</f>
        <v>1350</v>
      </c>
      <c r="I17" s="7">
        <f>SUM(I14:I14)</f>
        <v>621</v>
      </c>
      <c r="J17" s="7">
        <f>SUM(J14:J14)</f>
        <v>0</v>
      </c>
    </row>
    <row r="21" spans="2:10" x14ac:dyDescent="0.25">
      <c r="C21" t="s">
        <v>158</v>
      </c>
      <c r="D21" t="s">
        <v>159</v>
      </c>
    </row>
    <row r="22" spans="2:10" x14ac:dyDescent="0.25">
      <c r="B22" t="s">
        <v>160</v>
      </c>
      <c r="C22" s="40">
        <v>42826</v>
      </c>
      <c r="D22" s="40">
        <v>43075</v>
      </c>
    </row>
    <row r="23" spans="2:10" x14ac:dyDescent="0.25">
      <c r="B23" t="s">
        <v>161</v>
      </c>
      <c r="C23" s="40">
        <v>43076</v>
      </c>
      <c r="D23" s="40">
        <v>43190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14" sqref="G14"/>
    </sheetView>
  </sheetViews>
  <sheetFormatPr defaultRowHeight="15" x14ac:dyDescent="0.25"/>
  <cols>
    <col min="3" max="3" width="13.28515625" customWidth="1"/>
    <col min="4" max="4" width="20.42578125" customWidth="1"/>
    <col min="5" max="5" width="20.28515625" customWidth="1"/>
    <col min="6" max="6" width="16" customWidth="1"/>
    <col min="7" max="7" width="14.5703125" customWidth="1"/>
  </cols>
  <sheetData>
    <row r="1" spans="1:7" s="15" customFormat="1" ht="21" x14ac:dyDescent="0.35">
      <c r="A1" s="15" t="s">
        <v>67</v>
      </c>
    </row>
    <row r="4" spans="1:7" x14ac:dyDescent="0.25">
      <c r="C4" s="7" t="s">
        <v>109</v>
      </c>
    </row>
    <row r="5" spans="1:7" x14ac:dyDescent="0.25">
      <c r="D5" t="s">
        <v>101</v>
      </c>
      <c r="E5" t="s">
        <v>151</v>
      </c>
      <c r="F5" t="s">
        <v>81</v>
      </c>
      <c r="G5" t="s">
        <v>213</v>
      </c>
    </row>
    <row r="6" spans="1:7" x14ac:dyDescent="0.25">
      <c r="C6" t="s">
        <v>78</v>
      </c>
      <c r="D6" s="2">
        <f>'voeder lammeren'!C25</f>
        <v>15188.833636363637</v>
      </c>
      <c r="E6" s="2"/>
      <c r="F6" s="2">
        <f>'voeder lammeren'!C26</f>
        <v>4430.076477272728</v>
      </c>
      <c r="G6" s="3">
        <f>'voeder lammeren'!C28</f>
        <v>95.863950000000031</v>
      </c>
    </row>
    <row r="7" spans="1:7" x14ac:dyDescent="0.25">
      <c r="C7" t="s">
        <v>79</v>
      </c>
      <c r="D7" s="2">
        <f>'voeder ooien'!J22</f>
        <v>41463.5</v>
      </c>
      <c r="E7" s="2">
        <f>'voeder ooien'!K22</f>
        <v>17774</v>
      </c>
      <c r="F7" s="2">
        <f>'voeder ooien'!L22</f>
        <v>3627</v>
      </c>
    </row>
    <row r="8" spans="1:7" x14ac:dyDescent="0.25">
      <c r="C8" t="s">
        <v>80</v>
      </c>
      <c r="D8" s="2">
        <f>'voeder rammen'!H17</f>
        <v>1350</v>
      </c>
      <c r="E8" s="2">
        <f>'voeder rammen'!I17</f>
        <v>621</v>
      </c>
      <c r="F8" s="2">
        <f>'voeder rammen'!J14</f>
        <v>0</v>
      </c>
    </row>
    <row r="11" spans="1:7" x14ac:dyDescent="0.25">
      <c r="C11" s="7" t="s">
        <v>67</v>
      </c>
    </row>
    <row r="12" spans="1:7" x14ac:dyDescent="0.25">
      <c r="D12" t="s">
        <v>101</v>
      </c>
      <c r="E12" t="s">
        <v>151</v>
      </c>
      <c r="F12" t="s">
        <v>81</v>
      </c>
      <c r="G12" t="s">
        <v>213</v>
      </c>
    </row>
    <row r="13" spans="1:7" x14ac:dyDescent="0.25">
      <c r="C13" t="s">
        <v>108</v>
      </c>
      <c r="D13" s="5">
        <v>0.11</v>
      </c>
      <c r="E13" s="5">
        <v>0.17</v>
      </c>
      <c r="F13" s="5">
        <v>0.28999999999999998</v>
      </c>
      <c r="G13" s="5">
        <v>2.4</v>
      </c>
    </row>
    <row r="15" spans="1:7" x14ac:dyDescent="0.25">
      <c r="C15" t="s">
        <v>78</v>
      </c>
      <c r="D15" s="28">
        <f>D6*$D$13</f>
        <v>1670.7717</v>
      </c>
      <c r="E15" s="28">
        <f>E6*$E$13</f>
        <v>0</v>
      </c>
      <c r="F15" s="28">
        <f>F6*$F$13</f>
        <v>1284.7221784090909</v>
      </c>
      <c r="G15" s="3">
        <f>G6*$G$13</f>
        <v>230.07348000000007</v>
      </c>
    </row>
    <row r="16" spans="1:7" x14ac:dyDescent="0.25">
      <c r="C16" t="s">
        <v>79</v>
      </c>
      <c r="D16" s="28">
        <f t="shared" ref="D16:D17" si="0">D7*$D$13</f>
        <v>4560.9849999999997</v>
      </c>
      <c r="E16" s="28">
        <f t="shared" ref="E16:E17" si="1">E7*$E$13</f>
        <v>3021.5800000000004</v>
      </c>
      <c r="F16" s="28">
        <f t="shared" ref="F16:F17" si="2">F7*$F$13</f>
        <v>1051.83</v>
      </c>
    </row>
    <row r="17" spans="3:7" x14ac:dyDescent="0.25">
      <c r="C17" t="s">
        <v>80</v>
      </c>
      <c r="D17" s="28">
        <f t="shared" si="0"/>
        <v>148.5</v>
      </c>
      <c r="E17" s="28">
        <f t="shared" si="1"/>
        <v>105.57000000000001</v>
      </c>
      <c r="F17" s="28">
        <f t="shared" si="2"/>
        <v>0</v>
      </c>
    </row>
    <row r="18" spans="3:7" x14ac:dyDescent="0.25">
      <c r="C18" s="7" t="s">
        <v>36</v>
      </c>
      <c r="D18" s="29">
        <f>SUM(D15:D17)</f>
        <v>6380.2566999999999</v>
      </c>
      <c r="E18" s="29">
        <f>SUM(E15:E17)</f>
        <v>3127.1500000000005</v>
      </c>
      <c r="F18" s="29">
        <f>SUM(F15:F17)</f>
        <v>2336.5521784090906</v>
      </c>
      <c r="G18" s="54">
        <f>SUM(G15:G17)</f>
        <v>230.07348000000007</v>
      </c>
    </row>
    <row r="21" spans="3:7" x14ac:dyDescent="0.25">
      <c r="C21" s="7" t="s">
        <v>36</v>
      </c>
      <c r="D21" s="29">
        <f>D18+E18+F18+G18</f>
        <v>12074.032358409091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6" sqref="E6"/>
    </sheetView>
  </sheetViews>
  <sheetFormatPr defaultRowHeight="15" x14ac:dyDescent="0.25"/>
  <cols>
    <col min="2" max="2" width="21.42578125" customWidth="1"/>
    <col min="3" max="5" width="14.5703125" customWidth="1"/>
    <col min="6" max="6" width="13" customWidth="1"/>
    <col min="7" max="7" width="12.7109375" customWidth="1"/>
  </cols>
  <sheetData>
    <row r="1" spans="1:7" s="17" customFormat="1" ht="21" x14ac:dyDescent="0.35">
      <c r="A1" s="15" t="s">
        <v>194</v>
      </c>
    </row>
    <row r="3" spans="1:7" ht="45" x14ac:dyDescent="0.25">
      <c r="C3" s="1" t="s">
        <v>18</v>
      </c>
      <c r="D3" s="1" t="s">
        <v>198</v>
      </c>
      <c r="E3" s="1" t="s">
        <v>197</v>
      </c>
      <c r="F3" s="1" t="s">
        <v>199</v>
      </c>
      <c r="G3" s="1" t="s">
        <v>200</v>
      </c>
    </row>
    <row r="4" spans="1:7" x14ac:dyDescent="0.25">
      <c r="B4" t="s">
        <v>195</v>
      </c>
      <c r="C4" s="5">
        <v>0</v>
      </c>
      <c r="D4" s="5">
        <v>5</v>
      </c>
      <c r="E4" s="51">
        <v>150</v>
      </c>
      <c r="F4" s="51">
        <v>50</v>
      </c>
      <c r="G4" s="36">
        <f>(E4-F4)/D4*C4</f>
        <v>0</v>
      </c>
    </row>
    <row r="5" spans="1:7" x14ac:dyDescent="0.25">
      <c r="B5" t="s">
        <v>196</v>
      </c>
      <c r="C5" s="5">
        <v>1</v>
      </c>
      <c r="D5" s="5">
        <v>3</v>
      </c>
      <c r="E5" s="51">
        <v>200</v>
      </c>
      <c r="F5" s="51">
        <v>100</v>
      </c>
      <c r="G5" s="36">
        <f>(E5-F5)/D5</f>
        <v>33.333333333333336</v>
      </c>
    </row>
    <row r="9" spans="1:7" ht="30" x14ac:dyDescent="0.25">
      <c r="B9" s="1" t="s">
        <v>201</v>
      </c>
      <c r="C9" s="36">
        <f>G4+G5</f>
        <v>33.333333333333336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33" sqref="C33"/>
    </sheetView>
  </sheetViews>
  <sheetFormatPr defaultRowHeight="15" x14ac:dyDescent="0.25"/>
  <cols>
    <col min="2" max="2" width="43.5703125" customWidth="1"/>
    <col min="3" max="3" width="22.140625" customWidth="1"/>
    <col min="4" max="4" width="16.28515625" customWidth="1"/>
    <col min="5" max="5" width="14" customWidth="1"/>
    <col min="7" max="7" width="21" customWidth="1"/>
    <col min="8" max="8" width="14.42578125" customWidth="1"/>
    <col min="9" max="9" width="10.28515625" bestFit="1" customWidth="1"/>
  </cols>
  <sheetData>
    <row r="1" spans="1:10" s="15" customFormat="1" ht="21" x14ac:dyDescent="0.35">
      <c r="A1" s="15" t="s">
        <v>68</v>
      </c>
    </row>
    <row r="3" spans="1:10" x14ac:dyDescent="0.25">
      <c r="B3" s="17" t="s">
        <v>112</v>
      </c>
      <c r="C3" s="17"/>
      <c r="D3" s="17"/>
    </row>
    <row r="5" spans="1:10" x14ac:dyDescent="0.25">
      <c r="B5" t="s">
        <v>113</v>
      </c>
      <c r="C5" s="31">
        <v>35000</v>
      </c>
      <c r="G5" s="7" t="s">
        <v>135</v>
      </c>
      <c r="H5" s="34">
        <f>C10+C21+C26+C35+C45+C50+C57+C65+C69</f>
        <v>6771.6680000000006</v>
      </c>
      <c r="I5" s="7" t="s">
        <v>118</v>
      </c>
    </row>
    <row r="6" spans="1:10" x14ac:dyDescent="0.25">
      <c r="B6" t="s">
        <v>114</v>
      </c>
      <c r="C6" s="5">
        <v>20</v>
      </c>
      <c r="D6" t="s">
        <v>115</v>
      </c>
      <c r="G6" s="7"/>
      <c r="H6" s="34">
        <f>H5/'Foktechnische kengetallen'!B4</f>
        <v>67.716680000000011</v>
      </c>
      <c r="I6" s="7" t="s">
        <v>127</v>
      </c>
    </row>
    <row r="7" spans="1:10" x14ac:dyDescent="0.25">
      <c r="B7" t="s">
        <v>166</v>
      </c>
      <c r="C7" s="5">
        <v>3</v>
      </c>
      <c r="D7" t="s">
        <v>115</v>
      </c>
      <c r="H7" s="7"/>
      <c r="I7" s="34"/>
      <c r="J7" s="7"/>
    </row>
    <row r="8" spans="1:10" x14ac:dyDescent="0.25">
      <c r="B8" t="s">
        <v>165</v>
      </c>
      <c r="C8" s="30">
        <f>C5-(C5/C6*C7)</f>
        <v>29750</v>
      </c>
    </row>
    <row r="10" spans="1:10" x14ac:dyDescent="0.25">
      <c r="B10" s="7" t="s">
        <v>116</v>
      </c>
      <c r="C10" s="34">
        <f>C5/C6</f>
        <v>1750</v>
      </c>
      <c r="D10" s="7" t="s">
        <v>118</v>
      </c>
      <c r="I10" s="30"/>
    </row>
    <row r="11" spans="1:10" x14ac:dyDescent="0.25">
      <c r="B11" t="s">
        <v>117</v>
      </c>
      <c r="C11" s="30">
        <f>C10/'Foktechnische kengetallen'!B4</f>
        <v>17.5</v>
      </c>
      <c r="D11" t="s">
        <v>119</v>
      </c>
    </row>
    <row r="14" spans="1:10" x14ac:dyDescent="0.25">
      <c r="B14" s="17" t="s">
        <v>128</v>
      </c>
      <c r="C14" s="17"/>
      <c r="D14" s="17"/>
    </row>
    <row r="16" spans="1:10" x14ac:dyDescent="0.25">
      <c r="B16" t="s">
        <v>120</v>
      </c>
      <c r="C16" s="5">
        <v>12</v>
      </c>
    </row>
    <row r="17" spans="2:4" x14ac:dyDescent="0.25">
      <c r="B17" t="s">
        <v>121</v>
      </c>
      <c r="C17" s="5">
        <v>4</v>
      </c>
    </row>
    <row r="18" spans="2:4" x14ac:dyDescent="0.25">
      <c r="B18" t="s">
        <v>122</v>
      </c>
      <c r="C18" s="33">
        <v>0.06</v>
      </c>
      <c r="D18" t="s">
        <v>123</v>
      </c>
    </row>
    <row r="20" spans="2:4" s="7" customFormat="1" x14ac:dyDescent="0.25">
      <c r="B20" t="s">
        <v>124</v>
      </c>
      <c r="C20" s="30">
        <f>C17*C16*C18</f>
        <v>2.88</v>
      </c>
      <c r="D20" t="s">
        <v>127</v>
      </c>
    </row>
    <row r="21" spans="2:4" x14ac:dyDescent="0.25">
      <c r="B21" s="7" t="s">
        <v>150</v>
      </c>
      <c r="C21" s="34">
        <f>C20*'Foktechnische kengetallen'!B4</f>
        <v>288</v>
      </c>
      <c r="D21" s="7" t="s">
        <v>118</v>
      </c>
    </row>
    <row r="23" spans="2:4" x14ac:dyDescent="0.25">
      <c r="B23" s="17" t="s">
        <v>125</v>
      </c>
      <c r="C23" s="17"/>
      <c r="D23" s="17"/>
    </row>
    <row r="25" spans="2:4" x14ac:dyDescent="0.25">
      <c r="B25" t="s">
        <v>126</v>
      </c>
      <c r="C25" s="33">
        <v>12.5</v>
      </c>
      <c r="D25" t="s">
        <v>127</v>
      </c>
    </row>
    <row r="26" spans="2:4" x14ac:dyDescent="0.25">
      <c r="B26" s="7" t="s">
        <v>149</v>
      </c>
      <c r="C26" s="34">
        <f>C25*'Foktechnische kengetallen'!B4</f>
        <v>1250</v>
      </c>
      <c r="D26" s="7" t="s">
        <v>118</v>
      </c>
    </row>
    <row r="28" spans="2:4" x14ac:dyDescent="0.25">
      <c r="B28" s="17" t="s">
        <v>129</v>
      </c>
      <c r="C28" s="17"/>
      <c r="D28" s="17"/>
    </row>
    <row r="30" spans="2:4" x14ac:dyDescent="0.25">
      <c r="B30" t="s">
        <v>130</v>
      </c>
      <c r="C30" s="32">
        <f>15+'Foktechnische kengetallen'!B4*0.3</f>
        <v>45</v>
      </c>
    </row>
    <row r="31" spans="2:4" x14ac:dyDescent="0.25">
      <c r="B31" t="s">
        <v>131</v>
      </c>
      <c r="C31" s="32">
        <f>13</f>
        <v>13</v>
      </c>
    </row>
    <row r="32" spans="2:4" x14ac:dyDescent="0.25">
      <c r="B32" t="s">
        <v>132</v>
      </c>
      <c r="C32" s="32">
        <f>0.64*('Foktechnische kengetallen'!H10+'Foktechnische kengetallen'!I10)</f>
        <v>112.36800000000001</v>
      </c>
    </row>
    <row r="33" spans="2:4" x14ac:dyDescent="0.25">
      <c r="B33" t="s">
        <v>133</v>
      </c>
      <c r="C33" s="55">
        <v>90</v>
      </c>
    </row>
    <row r="34" spans="2:4" x14ac:dyDescent="0.25">
      <c r="B34" t="s">
        <v>134</v>
      </c>
      <c r="C34" s="32">
        <v>202</v>
      </c>
    </row>
    <row r="35" spans="2:4" x14ac:dyDescent="0.25">
      <c r="B35" s="7" t="s">
        <v>148</v>
      </c>
      <c r="C35" s="34">
        <f>SUM(C30:C34)</f>
        <v>462.36799999999999</v>
      </c>
      <c r="D35" s="7" t="s">
        <v>118</v>
      </c>
    </row>
    <row r="37" spans="2:4" x14ac:dyDescent="0.25">
      <c r="B37" s="17" t="s">
        <v>140</v>
      </c>
      <c r="C37" s="17"/>
      <c r="D37" s="17"/>
    </row>
    <row r="39" spans="2:4" x14ac:dyDescent="0.25">
      <c r="B39" t="s">
        <v>141</v>
      </c>
      <c r="C39" s="38">
        <v>0.02</v>
      </c>
    </row>
    <row r="40" spans="2:4" x14ac:dyDescent="0.25">
      <c r="B40" t="s">
        <v>142</v>
      </c>
      <c r="C40" s="33">
        <v>100</v>
      </c>
      <c r="D40" t="s">
        <v>127</v>
      </c>
    </row>
    <row r="41" spans="2:4" x14ac:dyDescent="0.25">
      <c r="B41" t="s">
        <v>143</v>
      </c>
      <c r="C41" s="33">
        <v>250</v>
      </c>
      <c r="D41" t="s">
        <v>144</v>
      </c>
    </row>
    <row r="43" spans="2:4" x14ac:dyDescent="0.25">
      <c r="B43" t="s">
        <v>145</v>
      </c>
      <c r="C43" s="30">
        <f>C40*'Foktechnische kengetallen'!B4*'Andere kosten'!C39+'Andere kosten'!C41*'Foktechnische kengetallen'!J14*'Andere kosten'!C39</f>
        <v>215</v>
      </c>
    </row>
    <row r="44" spans="2:4" x14ac:dyDescent="0.25">
      <c r="B44" t="s">
        <v>146</v>
      </c>
      <c r="C44" s="30">
        <f>C8*C39</f>
        <v>595</v>
      </c>
    </row>
    <row r="45" spans="2:4" x14ac:dyDescent="0.25">
      <c r="B45" s="7" t="s">
        <v>147</v>
      </c>
      <c r="C45" s="34">
        <f>SUM(C43:C44)</f>
        <v>810</v>
      </c>
      <c r="D45" s="7" t="s">
        <v>118</v>
      </c>
    </row>
    <row r="47" spans="2:4" x14ac:dyDescent="0.25">
      <c r="B47" s="17" t="s">
        <v>163</v>
      </c>
      <c r="C47" s="43"/>
      <c r="D47" s="17"/>
    </row>
    <row r="48" spans="2:4" x14ac:dyDescent="0.25">
      <c r="C48" s="42"/>
    </row>
    <row r="49" spans="2:8" x14ac:dyDescent="0.25">
      <c r="B49" t="s">
        <v>164</v>
      </c>
      <c r="C49" s="33">
        <v>3</v>
      </c>
      <c r="D49" t="s">
        <v>127</v>
      </c>
    </row>
    <row r="50" spans="2:8" x14ac:dyDescent="0.25">
      <c r="B50" s="7" t="s">
        <v>167</v>
      </c>
      <c r="C50" s="44">
        <f>'Foktechnische kengetallen'!B4*'Andere kosten'!C49</f>
        <v>300</v>
      </c>
      <c r="D50" s="7" t="s">
        <v>118</v>
      </c>
    </row>
    <row r="51" spans="2:8" x14ac:dyDescent="0.25">
      <c r="C51" s="42"/>
    </row>
    <row r="52" spans="2:8" x14ac:dyDescent="0.25">
      <c r="B52" s="17" t="s">
        <v>181</v>
      </c>
      <c r="C52" s="17"/>
      <c r="D52" s="17"/>
    </row>
    <row r="54" spans="2:8" x14ac:dyDescent="0.25">
      <c r="B54" t="s">
        <v>182</v>
      </c>
      <c r="C54" s="33">
        <v>125</v>
      </c>
      <c r="D54" t="s">
        <v>118</v>
      </c>
    </row>
    <row r="55" spans="2:8" x14ac:dyDescent="0.25">
      <c r="B55" t="s">
        <v>183</v>
      </c>
      <c r="C55" s="33">
        <v>200</v>
      </c>
      <c r="D55" t="s">
        <v>118</v>
      </c>
    </row>
    <row r="56" spans="2:8" x14ac:dyDescent="0.25">
      <c r="B56" t="s">
        <v>204</v>
      </c>
      <c r="C56" s="33">
        <v>250</v>
      </c>
      <c r="D56" t="s">
        <v>118</v>
      </c>
    </row>
    <row r="57" spans="2:8" x14ac:dyDescent="0.25">
      <c r="B57" s="7" t="s">
        <v>184</v>
      </c>
      <c r="C57" s="34">
        <f>SUM(C54:C56)</f>
        <v>575</v>
      </c>
      <c r="D57" s="7" t="s">
        <v>118</v>
      </c>
    </row>
    <row r="59" spans="2:8" x14ac:dyDescent="0.25">
      <c r="B59" s="17" t="s">
        <v>185</v>
      </c>
      <c r="C59" s="17"/>
      <c r="D59" s="17"/>
    </row>
    <row r="61" spans="2:8" x14ac:dyDescent="0.25">
      <c r="B61" t="s">
        <v>186</v>
      </c>
      <c r="C61" s="31">
        <v>400</v>
      </c>
      <c r="D61" t="s">
        <v>118</v>
      </c>
    </row>
    <row r="62" spans="2:8" x14ac:dyDescent="0.25">
      <c r="B62" t="s">
        <v>187</v>
      </c>
      <c r="C62" s="30">
        <f>F62*H62</f>
        <v>336.3</v>
      </c>
      <c r="D62" t="s">
        <v>118</v>
      </c>
      <c r="E62" t="s">
        <v>192</v>
      </c>
      <c r="F62" s="5">
        <v>1000</v>
      </c>
      <c r="G62" t="s">
        <v>190</v>
      </c>
      <c r="H62" s="31">
        <v>0.33629999999999999</v>
      </c>
    </row>
    <row r="63" spans="2:8" x14ac:dyDescent="0.25">
      <c r="B63" t="s">
        <v>188</v>
      </c>
      <c r="C63" s="31">
        <v>400</v>
      </c>
      <c r="D63" t="s">
        <v>118</v>
      </c>
    </row>
    <row r="64" spans="2:8" x14ac:dyDescent="0.25">
      <c r="B64" t="s">
        <v>189</v>
      </c>
      <c r="C64" s="31">
        <v>200</v>
      </c>
      <c r="D64" t="s">
        <v>118</v>
      </c>
    </row>
    <row r="65" spans="2:4" x14ac:dyDescent="0.25">
      <c r="B65" s="7" t="s">
        <v>193</v>
      </c>
      <c r="C65" s="50">
        <f>SUM(C61:C64)</f>
        <v>1336.3</v>
      </c>
      <c r="D65" s="7" t="s">
        <v>118</v>
      </c>
    </row>
    <row r="67" spans="2:4" x14ac:dyDescent="0.25">
      <c r="B67" s="17" t="s">
        <v>68</v>
      </c>
      <c r="C67" s="17"/>
      <c r="D67" s="17"/>
    </row>
    <row r="69" spans="2:4" x14ac:dyDescent="0.25">
      <c r="B69" s="7" t="s">
        <v>191</v>
      </c>
      <c r="C69" s="49">
        <v>0</v>
      </c>
      <c r="D69" s="7" t="s">
        <v>118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8" sqref="E8"/>
    </sheetView>
  </sheetViews>
  <sheetFormatPr defaultRowHeight="15" x14ac:dyDescent="0.25"/>
  <cols>
    <col min="2" max="2" width="26.85546875" customWidth="1"/>
    <col min="3" max="3" width="18.140625" customWidth="1"/>
    <col min="4" max="4" width="28.5703125" customWidth="1"/>
    <col min="5" max="6" width="23.7109375" customWidth="1"/>
    <col min="7" max="7" width="15" customWidth="1"/>
  </cols>
  <sheetData>
    <row r="1" spans="1:8" s="15" customFormat="1" ht="21" x14ac:dyDescent="0.35">
      <c r="A1" s="15" t="s">
        <v>69</v>
      </c>
    </row>
    <row r="4" spans="1:8" ht="30" x14ac:dyDescent="0.25">
      <c r="C4" t="s">
        <v>83</v>
      </c>
      <c r="D4" t="s">
        <v>85</v>
      </c>
      <c r="E4" s="1" t="s">
        <v>84</v>
      </c>
      <c r="F4" s="1" t="s">
        <v>173</v>
      </c>
      <c r="G4" t="s">
        <v>171</v>
      </c>
    </row>
    <row r="5" spans="1:8" x14ac:dyDescent="0.25">
      <c r="B5" t="s">
        <v>168</v>
      </c>
      <c r="C5" s="3">
        <f>ROUND('Foktechnische kengetallen'!B19,0)</f>
        <v>149</v>
      </c>
      <c r="D5">
        <f>'voeder lammeren'!C6</f>
        <v>44</v>
      </c>
      <c r="E5" s="5">
        <v>2.4</v>
      </c>
      <c r="G5">
        <f>C5*D5*E5</f>
        <v>15734.4</v>
      </c>
    </row>
    <row r="6" spans="1:8" x14ac:dyDescent="0.25">
      <c r="B6" t="s">
        <v>169</v>
      </c>
      <c r="C6" s="3">
        <f>ROUND('Foktechnische kengetallen'!H13+'Foktechnische kengetallen'!I13,0)</f>
        <v>19</v>
      </c>
      <c r="F6" s="5">
        <v>50</v>
      </c>
      <c r="G6">
        <f>C6*F6</f>
        <v>950</v>
      </c>
    </row>
    <row r="7" spans="1:8" x14ac:dyDescent="0.25">
      <c r="B7" t="s">
        <v>170</v>
      </c>
      <c r="C7" s="3">
        <f>'Foktechnische kengetallen'!H6+'Foktechnische kengetallen'!I6+'Foktechnische kengetallen'!J14</f>
        <v>103</v>
      </c>
      <c r="D7" s="5">
        <v>4</v>
      </c>
      <c r="E7" s="5">
        <v>1</v>
      </c>
      <c r="G7">
        <f>C7*D7*E7</f>
        <v>412</v>
      </c>
    </row>
    <row r="8" spans="1:8" x14ac:dyDescent="0.25">
      <c r="B8" t="s">
        <v>174</v>
      </c>
      <c r="C8" s="3">
        <f>'Foktechnische kengetallen'!B14</f>
        <v>1</v>
      </c>
      <c r="D8" s="6"/>
      <c r="E8" s="6"/>
      <c r="F8" s="5">
        <v>150</v>
      </c>
      <c r="G8">
        <f>C8*F8</f>
        <v>150</v>
      </c>
    </row>
    <row r="9" spans="1:8" x14ac:dyDescent="0.25">
      <c r="B9" t="s">
        <v>175</v>
      </c>
      <c r="C9" s="3">
        <f>'Foktechnische kengetallen'!B15</f>
        <v>1</v>
      </c>
      <c r="D9" s="6"/>
      <c r="E9" s="6"/>
      <c r="F9" s="5">
        <v>200</v>
      </c>
      <c r="G9">
        <f>C9*F9</f>
        <v>200</v>
      </c>
    </row>
    <row r="10" spans="1:8" x14ac:dyDescent="0.25">
      <c r="B10" t="s">
        <v>178</v>
      </c>
      <c r="C10" s="3">
        <f>'Foktechnische kengetallen'!B16</f>
        <v>1</v>
      </c>
      <c r="D10" s="6">
        <f>'voeder lammeren'!C6</f>
        <v>44</v>
      </c>
      <c r="E10" s="6">
        <f>E5</f>
        <v>2.4</v>
      </c>
      <c r="F10" s="6"/>
      <c r="G10">
        <f>C10*D10*E10</f>
        <v>105.6</v>
      </c>
      <c r="H10" t="s">
        <v>180</v>
      </c>
    </row>
    <row r="11" spans="1:8" x14ac:dyDescent="0.25">
      <c r="B11" t="s">
        <v>172</v>
      </c>
      <c r="G11" s="5">
        <v>1600</v>
      </c>
    </row>
    <row r="13" spans="1:8" x14ac:dyDescent="0.25">
      <c r="B13" s="7" t="s">
        <v>88</v>
      </c>
      <c r="C13" s="7"/>
      <c r="D13" s="7"/>
      <c r="E13" s="7"/>
      <c r="F13" s="7"/>
      <c r="G13" s="7">
        <f>SUM(G5:G11)</f>
        <v>19152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Foktechnische kengetallen</vt:lpstr>
      <vt:lpstr>Groei en verblijfsduur</vt:lpstr>
      <vt:lpstr>voeder lammeren</vt:lpstr>
      <vt:lpstr>voeder ooien</vt:lpstr>
      <vt:lpstr>voeder rammen</vt:lpstr>
      <vt:lpstr>kostprijs voeder</vt:lpstr>
      <vt:lpstr>aankoop dieren</vt:lpstr>
      <vt:lpstr>Andere kosten</vt:lpstr>
      <vt:lpstr>Opbrengsten</vt:lpstr>
      <vt:lpstr>Winst-verliesbalans</vt:lpstr>
    </vt:vector>
  </TitlesOfParts>
  <Company>UGent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Calus</dc:creator>
  <cp:lastModifiedBy>Andre Calus</cp:lastModifiedBy>
  <cp:lastPrinted>2017-03-01T21:46:07Z</cp:lastPrinted>
  <dcterms:created xsi:type="dcterms:W3CDTF">2015-09-12T12:37:17Z</dcterms:created>
  <dcterms:modified xsi:type="dcterms:W3CDTF">2017-06-14T16:35:00Z</dcterms:modified>
</cp:coreProperties>
</file>